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095" firstSheet="3" activeTab="3"/>
  </bookViews>
  <sheets>
    <sheet name="课酬预发" sheetId="1" r:id="rId1"/>
    <sheet name="理论课" sheetId="2" r:id="rId2"/>
    <sheet name="理论课（新）" sheetId="3" r:id="rId3"/>
    <sheet name="2008-2009-1" sheetId="4" r:id="rId4"/>
  </sheets>
  <definedNames>
    <definedName name="_xlnm.Print_Titles" localSheetId="3">'2008-2009-1'!$1:$4</definedName>
    <definedName name="_xlnm.Print_Titles" localSheetId="0">'课酬预发'!$1:$3</definedName>
  </definedNames>
  <calcPr fullCalcOnLoad="1"/>
</workbook>
</file>

<file path=xl/sharedStrings.xml><?xml version="1.0" encoding="utf-8"?>
<sst xmlns="http://schemas.openxmlformats.org/spreadsheetml/2006/main" count="1481" uniqueCount="364">
  <si>
    <t>序号</t>
  </si>
  <si>
    <t>课程名称</t>
  </si>
  <si>
    <t>班级</t>
  </si>
  <si>
    <t>周学时</t>
  </si>
  <si>
    <t>周数</t>
  </si>
  <si>
    <t>任课教师</t>
  </si>
  <si>
    <t>李春海</t>
  </si>
  <si>
    <t>汤一文</t>
  </si>
  <si>
    <t>杨鑫莉</t>
  </si>
  <si>
    <t>葛建芳</t>
  </si>
  <si>
    <t>高分子材料</t>
  </si>
  <si>
    <t>齐民华</t>
  </si>
  <si>
    <t>黄军左</t>
  </si>
  <si>
    <t>李学东</t>
  </si>
  <si>
    <t>化工学院院长：</t>
  </si>
  <si>
    <t>江禄森</t>
  </si>
  <si>
    <t>李宗宝</t>
  </si>
  <si>
    <t>吴世逵</t>
  </si>
  <si>
    <t>黄克明</t>
  </si>
  <si>
    <t>程丽华</t>
  </si>
  <si>
    <t>胡智华</t>
  </si>
  <si>
    <t>陈兴来</t>
  </si>
  <si>
    <t>梁朝林</t>
  </si>
  <si>
    <t>尹爱国</t>
  </si>
  <si>
    <t>聂丽君</t>
  </si>
  <si>
    <t>牛显春</t>
  </si>
  <si>
    <t>张冬梅</t>
  </si>
  <si>
    <t>谢文玉</t>
  </si>
  <si>
    <t>钟华文</t>
  </si>
  <si>
    <t>巩育军</t>
  </si>
  <si>
    <t>乔艳辉</t>
  </si>
  <si>
    <t>张庆</t>
  </si>
  <si>
    <t>韩寒冰</t>
  </si>
  <si>
    <t>毕方铖</t>
  </si>
  <si>
    <t>董宏坡</t>
  </si>
  <si>
    <t>邓红梅</t>
  </si>
  <si>
    <t>吴景雄</t>
  </si>
  <si>
    <t>梁伯行</t>
  </si>
  <si>
    <t>揭永文</t>
  </si>
  <si>
    <t>林培喜</t>
  </si>
  <si>
    <t>谭丽泉</t>
  </si>
  <si>
    <t>徐悦安</t>
  </si>
  <si>
    <t>周建敏</t>
  </si>
  <si>
    <t>蔡洁</t>
  </si>
  <si>
    <t>张业</t>
  </si>
  <si>
    <t>黄敏</t>
  </si>
  <si>
    <t>农兰平</t>
  </si>
  <si>
    <t>黄艳仙</t>
  </si>
  <si>
    <t>序号</t>
  </si>
  <si>
    <t>姓名</t>
  </si>
  <si>
    <t>职称系数</t>
  </si>
  <si>
    <t>原始课时小计</t>
  </si>
  <si>
    <t>备注</t>
  </si>
  <si>
    <t>有无助课教师</t>
  </si>
  <si>
    <t>合     计</t>
  </si>
  <si>
    <t>童汉清</t>
  </si>
  <si>
    <t>周如金</t>
  </si>
  <si>
    <t>梁拉安</t>
  </si>
  <si>
    <t>杨小勇</t>
  </si>
  <si>
    <t>潘美贞</t>
  </si>
  <si>
    <t>邱宝渭</t>
  </si>
  <si>
    <t>折算课时</t>
  </si>
  <si>
    <t>杨建设</t>
  </si>
  <si>
    <t>滕俊江</t>
  </si>
  <si>
    <t>苏秋芳</t>
  </si>
  <si>
    <t>郑公铭</t>
  </si>
  <si>
    <t>姚晓青</t>
  </si>
  <si>
    <t>薛元英</t>
  </si>
  <si>
    <t>刘杰凤</t>
  </si>
  <si>
    <t>莫桂娣</t>
  </si>
  <si>
    <t>陈东华</t>
  </si>
  <si>
    <t>单位</t>
  </si>
  <si>
    <t>课时单价</t>
  </si>
  <si>
    <t>课时津贴</t>
  </si>
  <si>
    <t>兼任职务</t>
  </si>
  <si>
    <t>兼职系数</t>
  </si>
  <si>
    <t>化工学院办</t>
  </si>
  <si>
    <t>江晓红</t>
  </si>
  <si>
    <t>何健宁</t>
  </si>
  <si>
    <t>朱越平</t>
  </si>
  <si>
    <t>何璧</t>
  </si>
  <si>
    <t>陈健</t>
  </si>
  <si>
    <t>汪希达</t>
  </si>
  <si>
    <t>冯晓</t>
  </si>
  <si>
    <t>黄碧</t>
  </si>
  <si>
    <t>刘国平</t>
  </si>
  <si>
    <t>陈少华</t>
  </si>
  <si>
    <t>李波</t>
  </si>
  <si>
    <t>蒋维</t>
  </si>
  <si>
    <t>化工原理</t>
  </si>
  <si>
    <t>陈英</t>
  </si>
  <si>
    <t>庞重军</t>
  </si>
  <si>
    <t>周锡堂</t>
  </si>
  <si>
    <t>化学工程工艺</t>
  </si>
  <si>
    <t>谢颖</t>
  </si>
  <si>
    <t>顾立军</t>
  </si>
  <si>
    <t>环境工程</t>
  </si>
  <si>
    <t>李晓明</t>
  </si>
  <si>
    <t>黎松强</t>
  </si>
  <si>
    <t>李日红</t>
  </si>
  <si>
    <t>曾霞</t>
  </si>
  <si>
    <t>应用化学</t>
  </si>
  <si>
    <t>食品工程</t>
  </si>
  <si>
    <t>彭燕</t>
  </si>
  <si>
    <t>海金萍</t>
  </si>
  <si>
    <t>化工实习基地</t>
  </si>
  <si>
    <t>基础化学实验</t>
  </si>
  <si>
    <t>谢水颜</t>
  </si>
  <si>
    <t>金烈</t>
  </si>
  <si>
    <t>王志辉</t>
  </si>
  <si>
    <t>周统武</t>
  </si>
  <si>
    <t>李春晖</t>
  </si>
  <si>
    <t>马玉刚</t>
  </si>
  <si>
    <t>熊德琴</t>
  </si>
  <si>
    <t>贾惠芳</t>
  </si>
  <si>
    <t>化工实验</t>
  </si>
  <si>
    <t>梅树莲</t>
  </si>
  <si>
    <t>郑秋霞</t>
  </si>
  <si>
    <t>黄钦炎</t>
  </si>
  <si>
    <t>廖艳</t>
  </si>
  <si>
    <t>黄展</t>
  </si>
  <si>
    <t>李瑞芳</t>
  </si>
  <si>
    <t>梁红冬</t>
  </si>
  <si>
    <t>田书红</t>
  </si>
  <si>
    <t>生化实验</t>
  </si>
  <si>
    <t>梁扬眉</t>
  </si>
  <si>
    <t>张进凤</t>
  </si>
  <si>
    <t>教研室主任</t>
  </si>
  <si>
    <t>系副主任</t>
  </si>
  <si>
    <t>教研室副主任</t>
  </si>
  <si>
    <t>系主任</t>
  </si>
  <si>
    <t>基础与应化实验室主任</t>
  </si>
  <si>
    <t>化工原理中心主任</t>
  </si>
  <si>
    <t>副院长</t>
  </si>
  <si>
    <t>院长</t>
  </si>
  <si>
    <t>分析测试中心副主任</t>
  </si>
  <si>
    <t>化工原理中心临时负责人</t>
  </si>
  <si>
    <t>实习基地主任</t>
  </si>
  <si>
    <t>设备处</t>
  </si>
  <si>
    <t>刘宝生</t>
  </si>
  <si>
    <t>教务处</t>
  </si>
  <si>
    <t>邹纲明</t>
  </si>
  <si>
    <t>胡生泳</t>
  </si>
  <si>
    <t>雷云周</t>
  </si>
  <si>
    <t>外聘教师</t>
  </si>
  <si>
    <t>环境工程</t>
  </si>
  <si>
    <t>化工所副所长</t>
  </si>
  <si>
    <t>读博</t>
  </si>
  <si>
    <t>读硕</t>
  </si>
  <si>
    <t>学生人数</t>
  </si>
  <si>
    <t>合班系数</t>
  </si>
  <si>
    <t>课程系数</t>
  </si>
  <si>
    <t>重复班系数</t>
  </si>
  <si>
    <t xml:space="preserve">              2005-2006学年第一学期化工学院高分子材料与工程教研室工作量（理论课）</t>
  </si>
  <si>
    <t>谭耀桂</t>
  </si>
  <si>
    <t>.李燕</t>
  </si>
  <si>
    <t>化工原理</t>
  </si>
  <si>
    <t>生物技术</t>
  </si>
  <si>
    <t>物化有机</t>
  </si>
  <si>
    <t>环境工程</t>
  </si>
  <si>
    <t>化工学院办</t>
  </si>
  <si>
    <t>化工原理实验</t>
  </si>
  <si>
    <t>基础化学实验</t>
  </si>
  <si>
    <t>高分子实验</t>
  </si>
  <si>
    <t>化工分析测试中心</t>
  </si>
  <si>
    <t>已办调动</t>
  </si>
  <si>
    <t>无机分析</t>
  </si>
  <si>
    <t>应用化学</t>
  </si>
  <si>
    <t>陈梅芹</t>
  </si>
  <si>
    <t>环境实验</t>
  </si>
  <si>
    <t>贾昌梅</t>
  </si>
  <si>
    <t>进修</t>
  </si>
  <si>
    <t>读博</t>
  </si>
  <si>
    <t>教研室主任</t>
  </si>
  <si>
    <t>化工党总支</t>
  </si>
  <si>
    <r>
      <t xml:space="preserve">       </t>
    </r>
    <r>
      <rPr>
        <b/>
        <sz val="14"/>
        <rFont val="宋体"/>
        <family val="0"/>
      </rPr>
      <t>化工学院</t>
    </r>
    <r>
      <rPr>
        <b/>
        <sz val="14"/>
        <rFont val="Times New Roman"/>
        <family val="1"/>
      </rPr>
      <t>2005-2006</t>
    </r>
    <r>
      <rPr>
        <b/>
        <sz val="14"/>
        <rFont val="宋体"/>
        <family val="0"/>
      </rPr>
      <t>学年第一学期教师校内津贴预发表</t>
    </r>
  </si>
  <si>
    <r>
      <t>填表：朱越平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审核：</t>
    </r>
    <r>
      <rPr>
        <sz val="10"/>
        <rFont val="Times New Roman"/>
        <family val="1"/>
      </rPr>
      <t xml:space="preserve">                    </t>
    </r>
    <r>
      <rPr>
        <sz val="10"/>
        <rFont val="宋体"/>
        <family val="0"/>
      </rPr>
      <t>二级单位负责人：</t>
    </r>
    <r>
      <rPr>
        <sz val="10"/>
        <rFont val="Times New Roman"/>
        <family val="1"/>
      </rPr>
      <t xml:space="preserve">                              </t>
    </r>
    <r>
      <rPr>
        <sz val="10"/>
        <rFont val="宋体"/>
        <family val="0"/>
      </rPr>
      <t>联系电话：</t>
    </r>
    <r>
      <rPr>
        <sz val="10"/>
        <rFont val="Times New Roman"/>
        <family val="1"/>
      </rPr>
      <t xml:space="preserve">2923525    </t>
    </r>
    <r>
      <rPr>
        <sz val="10"/>
        <rFont val="宋体"/>
        <family val="0"/>
      </rPr>
      <t>填表时间：</t>
    </r>
    <r>
      <rPr>
        <sz val="10"/>
        <rFont val="Times New Roman"/>
        <family val="1"/>
      </rPr>
      <t>2005.9.19</t>
    </r>
  </si>
  <si>
    <t>化工计算机应用</t>
  </si>
  <si>
    <r>
      <t>化工</t>
    </r>
    <r>
      <rPr>
        <sz val="10.5"/>
        <rFont val="Times New Roman"/>
        <family val="1"/>
      </rPr>
      <t>02-1/2</t>
    </r>
  </si>
  <si>
    <t>化工过程分析与合成</t>
  </si>
  <si>
    <r>
      <t>化工</t>
    </r>
    <r>
      <rPr>
        <sz val="10.5"/>
        <rFont val="Times New Roman"/>
        <family val="1"/>
      </rPr>
      <t>02-3/4</t>
    </r>
  </si>
  <si>
    <t>化工分离过程</t>
  </si>
  <si>
    <t>文献检索与科技写作</t>
  </si>
  <si>
    <r>
      <t>有机专</t>
    </r>
    <r>
      <rPr>
        <sz val="10.5"/>
        <rFont val="Times New Roman"/>
        <family val="1"/>
      </rPr>
      <t>03-1</t>
    </r>
  </si>
  <si>
    <t>化学反应工程</t>
  </si>
  <si>
    <t>胡生泳</t>
  </si>
  <si>
    <t>石油炼制工程（二）</t>
  </si>
  <si>
    <t>化工设计</t>
  </si>
  <si>
    <t>化工专业英语</t>
  </si>
  <si>
    <r>
      <t>化工</t>
    </r>
    <r>
      <rPr>
        <sz val="10.5"/>
        <rFont val="Times New Roman"/>
        <family val="1"/>
      </rPr>
      <t>03-1/2</t>
    </r>
  </si>
  <si>
    <t>专业英语</t>
  </si>
  <si>
    <t>雷云周</t>
  </si>
  <si>
    <t>催化剂工程导论</t>
  </si>
  <si>
    <t>刘宝生</t>
  </si>
  <si>
    <t>油品储运技术</t>
  </si>
  <si>
    <r>
      <t>化工</t>
    </r>
    <r>
      <rPr>
        <sz val="10.5"/>
        <rFont val="Times New Roman"/>
        <family val="1"/>
      </rPr>
      <t>02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71</t>
    </r>
    <r>
      <rPr>
        <sz val="10.5"/>
        <rFont val="宋体"/>
        <family val="0"/>
      </rPr>
      <t>人）</t>
    </r>
  </si>
  <si>
    <t>石油化工概论</t>
  </si>
  <si>
    <r>
      <t>应化</t>
    </r>
    <r>
      <rPr>
        <sz val="10.5"/>
        <rFont val="Times New Roman"/>
        <family val="1"/>
      </rPr>
      <t>02-1/2/3</t>
    </r>
  </si>
  <si>
    <t>油品应用学</t>
  </si>
  <si>
    <t>环境与可持续发展</t>
  </si>
  <si>
    <t>石油加工工艺学</t>
  </si>
  <si>
    <t>乙烯生产及其产品利用</t>
  </si>
  <si>
    <t>化工安全技术</t>
  </si>
  <si>
    <t>无</t>
  </si>
  <si>
    <t>上机另表计</t>
  </si>
  <si>
    <r>
      <t>化工</t>
    </r>
    <r>
      <rPr>
        <sz val="10.5"/>
        <rFont val="Times New Roman"/>
        <family val="1"/>
      </rPr>
      <t>02(136</t>
    </r>
    <r>
      <rPr>
        <sz val="10.5"/>
        <rFont val="宋体"/>
        <family val="0"/>
      </rPr>
      <t>人</t>
    </r>
    <r>
      <rPr>
        <sz val="10.5"/>
        <rFont val="Times New Roman"/>
        <family val="1"/>
      </rPr>
      <t>)</t>
    </r>
  </si>
  <si>
    <r>
      <t>化工</t>
    </r>
    <r>
      <rPr>
        <sz val="10.5"/>
        <rFont val="Times New Roman"/>
        <family val="1"/>
      </rPr>
      <t>02(101</t>
    </r>
    <r>
      <rPr>
        <sz val="10.5"/>
        <rFont val="宋体"/>
        <family val="0"/>
      </rPr>
      <t>人</t>
    </r>
    <r>
      <rPr>
        <sz val="10.5"/>
        <rFont val="Times New Roman"/>
        <family val="1"/>
      </rPr>
      <t>)</t>
    </r>
  </si>
  <si>
    <t>合      计</t>
  </si>
  <si>
    <t>上机另表计</t>
  </si>
  <si>
    <t>制表人：朱越平     教研室主任：</t>
  </si>
  <si>
    <t xml:space="preserve">      制表时间；2005年10月20日</t>
  </si>
  <si>
    <t>石油产品应用技术(选修)</t>
  </si>
  <si>
    <t>油气储运技术与管理(选修)</t>
  </si>
  <si>
    <t>精细及高分子化工基础(选修)</t>
  </si>
  <si>
    <t>超过90人</t>
  </si>
  <si>
    <t>超过45人</t>
  </si>
  <si>
    <t xml:space="preserve">              2005-2006学年第一学期化工学院化学工程与工艺教研室工作量（理论课）</t>
  </si>
  <si>
    <t>高分子材料成型加工基础</t>
  </si>
  <si>
    <t>高分子材料成型模具</t>
  </si>
  <si>
    <t>高分子材料成型加工设备</t>
  </si>
  <si>
    <t>涂料工艺学</t>
  </si>
  <si>
    <t>聚合反应工程基础</t>
  </si>
  <si>
    <t>高分子化学</t>
  </si>
  <si>
    <t>高分子材料近代测试</t>
  </si>
  <si>
    <t>聚合物复合材料</t>
  </si>
  <si>
    <t>功能高分子材料</t>
  </si>
  <si>
    <t>高分子化学改性</t>
  </si>
  <si>
    <t>涂料化学</t>
  </si>
  <si>
    <t>文献检索</t>
  </si>
  <si>
    <t>高等有机化学</t>
  </si>
  <si>
    <t>应用电化学</t>
  </si>
  <si>
    <t>精细化学品标准分析</t>
  </si>
  <si>
    <t>化妆品生产工艺</t>
  </si>
  <si>
    <t>精细有机合成</t>
  </si>
  <si>
    <t>有机化合物波谱分析</t>
  </si>
  <si>
    <r>
      <t>应化</t>
    </r>
    <r>
      <rPr>
        <sz val="11"/>
        <rFont val="Times New Roman"/>
        <family val="1"/>
      </rPr>
      <t>02-1/2</t>
    </r>
  </si>
  <si>
    <r>
      <t>应化</t>
    </r>
    <r>
      <rPr>
        <sz val="11"/>
        <rFont val="Times New Roman"/>
        <family val="1"/>
      </rPr>
      <t>02-3</t>
    </r>
  </si>
  <si>
    <r>
      <t>应化</t>
    </r>
    <r>
      <rPr>
        <sz val="11"/>
        <rFont val="Times New Roman"/>
        <family val="1"/>
      </rPr>
      <t>02-1/2/3</t>
    </r>
  </si>
  <si>
    <r>
      <t>应化</t>
    </r>
    <r>
      <rPr>
        <sz val="11"/>
        <rFont val="Times New Roman"/>
        <family val="1"/>
      </rPr>
      <t>03-1/2</t>
    </r>
  </si>
  <si>
    <r>
      <t>高分子</t>
    </r>
    <r>
      <rPr>
        <sz val="11"/>
        <rFont val="Times New Roman"/>
        <family val="1"/>
      </rPr>
      <t>02-2</t>
    </r>
  </si>
  <si>
    <r>
      <t>高分子</t>
    </r>
    <r>
      <rPr>
        <sz val="11"/>
        <rFont val="Times New Roman"/>
        <family val="1"/>
      </rPr>
      <t>02-1/2</t>
    </r>
  </si>
  <si>
    <t>无</t>
  </si>
  <si>
    <r>
      <t>高分子</t>
    </r>
    <r>
      <rPr>
        <sz val="11"/>
        <rFont val="Times New Roman"/>
        <family val="1"/>
      </rPr>
      <t>02-1</t>
    </r>
  </si>
  <si>
    <r>
      <t>高分子</t>
    </r>
    <r>
      <rPr>
        <sz val="11"/>
        <rFont val="Times New Roman"/>
        <family val="1"/>
      </rPr>
      <t>03-2</t>
    </r>
  </si>
  <si>
    <r>
      <t>高分子</t>
    </r>
    <r>
      <rPr>
        <sz val="11"/>
        <rFont val="Times New Roman"/>
        <family val="1"/>
      </rPr>
      <t>03-1</t>
    </r>
  </si>
  <si>
    <t>上机另表计</t>
  </si>
  <si>
    <t xml:space="preserve">                  2005-2006学年第一学期化工学院应用化学教研室工作量（理论课）</t>
  </si>
  <si>
    <t xml:space="preserve">                  2005-2006学年第一学期化工学院环境工程教研室工作量（理论课）</t>
  </si>
  <si>
    <t>专业计算机应用</t>
  </si>
  <si>
    <t>大气污染控制工程</t>
  </si>
  <si>
    <t>环境影响评价</t>
  </si>
  <si>
    <t>给排水管道工程</t>
  </si>
  <si>
    <t>环保设备设计与应用</t>
  </si>
  <si>
    <t>环境保护</t>
  </si>
  <si>
    <t>固体废物处理与处置</t>
  </si>
  <si>
    <t>噪声控制工程</t>
  </si>
  <si>
    <t>陈梅芹</t>
  </si>
  <si>
    <t>水质监测与实验</t>
  </si>
  <si>
    <r>
      <t>环境</t>
    </r>
    <r>
      <rPr>
        <sz val="11"/>
        <rFont val="Times New Roman"/>
        <family val="1"/>
      </rPr>
      <t>02-1/2</t>
    </r>
  </si>
  <si>
    <r>
      <t>环境</t>
    </r>
    <r>
      <rPr>
        <sz val="11"/>
        <rFont val="Times New Roman"/>
        <family val="1"/>
      </rPr>
      <t>03-1/2</t>
    </r>
  </si>
  <si>
    <r>
      <t>装控</t>
    </r>
    <r>
      <rPr>
        <sz val="11"/>
        <rFont val="Times New Roman"/>
        <family val="1"/>
      </rPr>
      <t>02-1/2/3</t>
    </r>
  </si>
  <si>
    <r>
      <t>机电</t>
    </r>
    <r>
      <rPr>
        <sz val="11"/>
        <rFont val="Times New Roman"/>
        <family val="1"/>
      </rPr>
      <t>03-1/2</t>
    </r>
  </si>
  <si>
    <r>
      <t>给排水</t>
    </r>
    <r>
      <rPr>
        <sz val="11"/>
        <rFont val="Times New Roman"/>
        <family val="1"/>
      </rPr>
      <t>03-1</t>
    </r>
  </si>
  <si>
    <r>
      <t>装饰</t>
    </r>
    <r>
      <rPr>
        <sz val="11"/>
        <rFont val="Times New Roman"/>
        <family val="1"/>
      </rPr>
      <t>03-1</t>
    </r>
  </si>
  <si>
    <r>
      <t>材控</t>
    </r>
    <r>
      <rPr>
        <sz val="11"/>
        <rFont val="Times New Roman"/>
        <family val="1"/>
      </rPr>
      <t>03-1</t>
    </r>
  </si>
  <si>
    <t>班级少于30人</t>
  </si>
  <si>
    <t>生化工程基础</t>
  </si>
  <si>
    <t>普通生物学</t>
  </si>
  <si>
    <t>微生物工程</t>
  </si>
  <si>
    <t>微生物学</t>
  </si>
  <si>
    <t>细胞生物学</t>
  </si>
  <si>
    <t>遗传学</t>
  </si>
  <si>
    <r>
      <t>生物</t>
    </r>
    <r>
      <rPr>
        <sz val="11"/>
        <rFont val="Times New Roman"/>
        <family val="1"/>
      </rPr>
      <t>04-1/2</t>
    </r>
  </si>
  <si>
    <t>无</t>
  </si>
  <si>
    <r>
      <t>生物</t>
    </r>
    <r>
      <rPr>
        <sz val="11"/>
        <rFont val="Times New Roman"/>
        <family val="1"/>
      </rPr>
      <t>03-1/2</t>
    </r>
  </si>
  <si>
    <t xml:space="preserve">                  2005-2006学年第一学期化工学院生物技术教研室工作量（理论课）</t>
  </si>
  <si>
    <t xml:space="preserve">              2005-2006学年第一学期化工学院食品科学与工程教研室工作量（理论课）</t>
  </si>
  <si>
    <t>生物化学</t>
  </si>
  <si>
    <r>
      <t>食品</t>
    </r>
    <r>
      <rPr>
        <sz val="10.5"/>
        <rFont val="Times New Roman"/>
        <family val="1"/>
      </rPr>
      <t>04-1</t>
    </r>
  </si>
  <si>
    <t>无</t>
  </si>
  <si>
    <t xml:space="preserve">              2005-2006学年第一学期化工学院化工原理教学与实验中心工作量（理论课）</t>
  </si>
  <si>
    <t>化工流体流动与传热</t>
  </si>
  <si>
    <t>流体力学与传热</t>
  </si>
  <si>
    <t>传质与分离工程</t>
  </si>
  <si>
    <t>邹纲明</t>
  </si>
  <si>
    <t>李燕</t>
  </si>
  <si>
    <r>
      <t>化工</t>
    </r>
    <r>
      <rPr>
        <sz val="11"/>
        <rFont val="Times New Roman"/>
        <family val="1"/>
      </rPr>
      <t>03-1/2</t>
    </r>
  </si>
  <si>
    <r>
      <t>高分子</t>
    </r>
    <r>
      <rPr>
        <sz val="11"/>
        <rFont val="Times New Roman"/>
        <family val="1"/>
      </rPr>
      <t>03-1/2</t>
    </r>
  </si>
  <si>
    <r>
      <t>装控</t>
    </r>
    <r>
      <rPr>
        <sz val="11"/>
        <rFont val="Times New Roman"/>
        <family val="1"/>
      </rPr>
      <t>03-1/2</t>
    </r>
  </si>
  <si>
    <t>化工原理（总学时90）</t>
  </si>
  <si>
    <t>实验20节另表计</t>
  </si>
  <si>
    <t>班级超90人</t>
  </si>
  <si>
    <t>化工计算机应用(总学时32)</t>
  </si>
  <si>
    <t xml:space="preserve">                 2005-2006学年第一学期化工学院无机分析教研室工作量（理论课）</t>
  </si>
  <si>
    <t>分析化学</t>
  </si>
  <si>
    <t>大学化学（分析与无机）</t>
  </si>
  <si>
    <t>无机化学</t>
  </si>
  <si>
    <t>大学化学</t>
  </si>
  <si>
    <r>
      <t>食品</t>
    </r>
    <r>
      <rPr>
        <sz val="11"/>
        <rFont val="Times New Roman"/>
        <family val="1"/>
      </rPr>
      <t>04-1</t>
    </r>
  </si>
  <si>
    <r>
      <t>应化</t>
    </r>
    <r>
      <rPr>
        <sz val="11"/>
        <rFont val="Times New Roman"/>
        <family val="1"/>
      </rPr>
      <t>04-1/2</t>
    </r>
  </si>
  <si>
    <r>
      <t>环境</t>
    </r>
    <r>
      <rPr>
        <sz val="11"/>
        <rFont val="Times New Roman"/>
        <family val="1"/>
      </rPr>
      <t>05-1</t>
    </r>
  </si>
  <si>
    <r>
      <t>化工</t>
    </r>
    <r>
      <rPr>
        <sz val="11"/>
        <rFont val="Times New Roman"/>
        <family val="1"/>
      </rPr>
      <t>05-1/2</t>
    </r>
  </si>
  <si>
    <r>
      <t>高分子</t>
    </r>
    <r>
      <rPr>
        <sz val="11"/>
        <rFont val="Times New Roman"/>
        <family val="1"/>
      </rPr>
      <t>05-1/2</t>
    </r>
    <r>
      <rPr>
        <sz val="11"/>
        <rFont val="宋体"/>
        <family val="0"/>
      </rPr>
      <t>、食品</t>
    </r>
    <r>
      <rPr>
        <sz val="11"/>
        <rFont val="Times New Roman"/>
        <family val="1"/>
      </rPr>
      <t>05-1</t>
    </r>
  </si>
  <si>
    <r>
      <t>应化</t>
    </r>
    <r>
      <rPr>
        <sz val="11"/>
        <rFont val="Times New Roman"/>
        <family val="1"/>
      </rPr>
      <t>05-1/2</t>
    </r>
    <r>
      <rPr>
        <sz val="11"/>
        <rFont val="宋体"/>
        <family val="0"/>
      </rPr>
      <t>、生物</t>
    </r>
    <r>
      <rPr>
        <sz val="11"/>
        <rFont val="Times New Roman"/>
        <family val="1"/>
      </rPr>
      <t>05-1</t>
    </r>
  </si>
  <si>
    <r>
      <t>材控</t>
    </r>
    <r>
      <rPr>
        <sz val="11"/>
        <rFont val="Times New Roman"/>
        <family val="1"/>
      </rPr>
      <t>05-1</t>
    </r>
  </si>
  <si>
    <t>物理化学（二）</t>
  </si>
  <si>
    <t>物理化学（一）</t>
  </si>
  <si>
    <t>有机化学</t>
  </si>
  <si>
    <t>物理化学及胶体化学(总学时64)</t>
  </si>
  <si>
    <r>
      <t>化工</t>
    </r>
    <r>
      <rPr>
        <sz val="11"/>
        <rFont val="Times New Roman"/>
        <family val="1"/>
      </rPr>
      <t>04-1/2</t>
    </r>
  </si>
  <si>
    <r>
      <t>环境</t>
    </r>
    <r>
      <rPr>
        <sz val="11"/>
        <rFont val="Times New Roman"/>
        <family val="1"/>
      </rPr>
      <t>04-1/2</t>
    </r>
  </si>
  <si>
    <r>
      <t>高分子</t>
    </r>
    <r>
      <rPr>
        <sz val="11"/>
        <rFont val="Times New Roman"/>
        <family val="1"/>
      </rPr>
      <t>04-1</t>
    </r>
  </si>
  <si>
    <r>
      <t>高分子</t>
    </r>
    <r>
      <rPr>
        <sz val="11"/>
        <rFont val="Times New Roman"/>
        <family val="1"/>
      </rPr>
      <t>04-2</t>
    </r>
  </si>
  <si>
    <t>实验16节另表计</t>
  </si>
  <si>
    <t xml:space="preserve">                 2005-2006学年第一学期化工学院物化有机教研室工作量（理论课）</t>
  </si>
  <si>
    <t>实验另表计</t>
  </si>
  <si>
    <t>化工03-1/2</t>
  </si>
  <si>
    <t>梁朝林</t>
  </si>
  <si>
    <t>课外</t>
  </si>
  <si>
    <t>学科前沿讲座（4学时）</t>
  </si>
  <si>
    <t xml:space="preserve">      制表时间；2005年10月20日</t>
  </si>
  <si>
    <t>物理化学（二）         (3×16=48)</t>
  </si>
  <si>
    <t>物理化学（二）         (3×15=45)</t>
  </si>
  <si>
    <t xml:space="preserve">  2005-2006学年第一学期化工学院化学工程与工艺教研室工作量（理论课）</t>
  </si>
  <si>
    <t xml:space="preserve"> 2005-2006学年第一学期化工学院高分子材料与工程教研室工作量（理论课）</t>
  </si>
  <si>
    <t xml:space="preserve">     2005-2006学年第一学期化工学院应用化学教研室工作量（理论课）</t>
  </si>
  <si>
    <t xml:space="preserve">       2005-2006学年第一学期化工学院环境工程教研室工作量（理论课）</t>
  </si>
  <si>
    <t xml:space="preserve">     2005-2006学年第一学期化工学院食品科学与工程教研室工作量（理论课）</t>
  </si>
  <si>
    <t>计划学时</t>
  </si>
  <si>
    <t>学科前沿讲座（4学时）</t>
  </si>
  <si>
    <t>石油产品应用技术(选修)</t>
  </si>
  <si>
    <t>油气储运技术与管理(选修)</t>
  </si>
  <si>
    <t>精细及高分子化工基础(选修)</t>
  </si>
  <si>
    <t xml:space="preserve"> 2005-2006学年第一学期化工学院物化有机教研室工作量（理论课）</t>
  </si>
  <si>
    <t xml:space="preserve">    2005-2006学年第一学期化工学院无机分析教研室工作量（理论课）</t>
  </si>
  <si>
    <t xml:space="preserve"> 2005-2006学年第一学期化工学院生物技术教研室工作量（理论课）</t>
  </si>
  <si>
    <t>2005-2006学年第一学期化工学院化工原理教学与实验中心工作量（理论课）</t>
  </si>
  <si>
    <t>教务处处长：</t>
  </si>
  <si>
    <t xml:space="preserve">    化工学院院长：</t>
  </si>
  <si>
    <t>物理化学（二）            (3×16=48)</t>
  </si>
  <si>
    <t>物理化学（二）             (3×15=45)</t>
  </si>
  <si>
    <t xml:space="preserve">      制表时间；2005年11月2日</t>
  </si>
  <si>
    <t>质量等级</t>
  </si>
  <si>
    <r>
      <t>2008-2009</t>
    </r>
    <r>
      <rPr>
        <b/>
        <sz val="14"/>
        <rFont val="宋体"/>
        <family val="0"/>
      </rPr>
      <t>学年第一学期教师校内津贴结算表</t>
    </r>
  </si>
  <si>
    <t>序号</t>
  </si>
  <si>
    <t>单位</t>
  </si>
  <si>
    <t>姓名</t>
  </si>
  <si>
    <t>(  %)教学工作津贴</t>
  </si>
  <si>
    <t>（  %）教学质量津贴</t>
  </si>
  <si>
    <t>（  %）激励津贴</t>
  </si>
  <si>
    <t>总课时</t>
  </si>
  <si>
    <t>课时单价</t>
  </si>
  <si>
    <t>质量单价</t>
  </si>
  <si>
    <t>合计</t>
  </si>
  <si>
    <t>制表人：</t>
  </si>
  <si>
    <t>二级单位负责人：</t>
  </si>
  <si>
    <t>单位：（盖章）</t>
  </si>
  <si>
    <t>数量
津贴</t>
  </si>
  <si>
    <t>质量
津贴</t>
  </si>
  <si>
    <t>发放
原因</t>
  </si>
  <si>
    <t>津贴
金额</t>
  </si>
  <si>
    <t>预发
金额</t>
  </si>
  <si>
    <t>总计
余额</t>
  </si>
  <si>
    <t>制表时间：</t>
  </si>
</sst>
</file>

<file path=xl/styles.xml><?xml version="1.0" encoding="utf-8"?>
<styleSheet xmlns="http://schemas.openxmlformats.org/spreadsheetml/2006/main">
  <numFmts count="4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;_Ⰰ"/>
    <numFmt numFmtId="190" formatCode="0;_"/>
    <numFmt numFmtId="191" formatCode="0.0;_"/>
    <numFmt numFmtId="192" formatCode="0.00;_"/>
    <numFmt numFmtId="193" formatCode="0.0_ "/>
    <numFmt numFmtId="194" formatCode="0.000_ "/>
    <numFmt numFmtId="195" formatCode="0.00;[Red]0.00"/>
    <numFmt numFmtId="196" formatCode="0.0;[Red]0.0"/>
    <numFmt numFmtId="197" formatCode="0.00_);[Red]\(0.00\)"/>
    <numFmt numFmtId="198" formatCode="0.0000_ "/>
    <numFmt numFmtId="199" formatCode="0;_䐀"/>
    <numFmt numFmtId="200" formatCode="0;_䰀"/>
    <numFmt numFmtId="201" formatCode="0.0;_䰀"/>
    <numFmt numFmtId="202" formatCode="0.00;_䰀"/>
    <numFmt numFmtId="203" formatCode="0.00000_ "/>
    <numFmt numFmtId="204" formatCode="0.0_);[Red]\(0.0\)"/>
    <numFmt numFmtId="205" formatCode="0.000;[Red]0.000"/>
    <numFmt numFmtId="206" formatCode="0.00000000_ "/>
    <numFmt numFmtId="207" formatCode="0.0000000_ "/>
    <numFmt numFmtId="208" formatCode="0.000000_ "/>
    <numFmt numFmtId="209" formatCode="0;[Red]0"/>
    <numFmt numFmtId="210" formatCode="0.0000;[Red]0.0000"/>
  </numFmts>
  <fonts count="24">
    <font>
      <sz val="12"/>
      <name val="宋体"/>
      <family val="0"/>
    </font>
    <font>
      <sz val="9"/>
      <name val="宋体"/>
      <family val="0"/>
    </font>
    <font>
      <sz val="16"/>
      <name val="华文中宋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7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1"/>
      <name val="Times New Roman"/>
      <family val="1"/>
    </font>
    <font>
      <sz val="6"/>
      <name val="宋体"/>
      <family val="0"/>
    </font>
    <font>
      <sz val="8.5"/>
      <name val="宋体"/>
      <family val="0"/>
    </font>
    <font>
      <b/>
      <sz val="11"/>
      <name val="宋体"/>
      <family val="0"/>
    </font>
    <font>
      <b/>
      <sz val="10.5"/>
      <name val="宋体"/>
      <family val="0"/>
    </font>
    <font>
      <b/>
      <i/>
      <sz val="12"/>
      <name val="宋体"/>
      <family val="0"/>
    </font>
    <font>
      <b/>
      <i/>
      <sz val="10"/>
      <name val="宋体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95" fontId="6" fillId="0" borderId="1" xfId="0" applyNumberFormat="1" applyFont="1" applyBorder="1" applyAlignment="1">
      <alignment horizontal="center"/>
    </xf>
    <xf numFmtId="195" fontId="6" fillId="0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/>
    </xf>
    <xf numFmtId="195" fontId="0" fillId="0" borderId="0" xfId="0" applyNumberFormat="1" applyAlignment="1">
      <alignment horizontal="center"/>
    </xf>
    <xf numFmtId="195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95" fontId="1" fillId="0" borderId="1" xfId="0" applyNumberFormat="1" applyFont="1" applyBorder="1" applyAlignment="1">
      <alignment horizontal="center"/>
    </xf>
    <xf numFmtId="195" fontId="5" fillId="0" borderId="1" xfId="0" applyNumberFormat="1" applyFont="1" applyBorder="1" applyAlignment="1">
      <alignment horizontal="center"/>
    </xf>
    <xf numFmtId="195" fontId="7" fillId="0" borderId="1" xfId="0" applyNumberFormat="1" applyFont="1" applyBorder="1" applyAlignment="1">
      <alignment horizontal="center"/>
    </xf>
    <xf numFmtId="196" fontId="0" fillId="0" borderId="0" xfId="0" applyNumberFormat="1" applyAlignment="1">
      <alignment horizontal="center"/>
    </xf>
    <xf numFmtId="196" fontId="6" fillId="0" borderId="1" xfId="0" applyNumberFormat="1" applyFont="1" applyBorder="1" applyAlignment="1">
      <alignment horizontal="center"/>
    </xf>
    <xf numFmtId="196" fontId="0" fillId="0" borderId="1" xfId="0" applyNumberFormat="1" applyBorder="1" applyAlignment="1">
      <alignment horizontal="center"/>
    </xf>
    <xf numFmtId="195" fontId="0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1" fontId="0" fillId="0" borderId="4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88" fontId="3" fillId="0" borderId="1" xfId="0" applyNumberFormat="1" applyFont="1" applyBorder="1" applyAlignment="1">
      <alignment horizontal="center"/>
    </xf>
    <xf numFmtId="202" fontId="15" fillId="0" borderId="1" xfId="0" applyNumberFormat="1" applyFont="1" applyBorder="1" applyAlignment="1">
      <alignment horizontal="center"/>
    </xf>
    <xf numFmtId="202" fontId="3" fillId="0" borderId="1" xfId="0" applyNumberFormat="1" applyFont="1" applyBorder="1" applyAlignment="1">
      <alignment horizontal="center"/>
    </xf>
    <xf numFmtId="188" fontId="15" fillId="0" borderId="1" xfId="0" applyNumberFormat="1" applyFont="1" applyBorder="1" applyAlignment="1">
      <alignment horizontal="center"/>
    </xf>
    <xf numFmtId="188" fontId="19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188" fontId="1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88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/>
    </xf>
    <xf numFmtId="188" fontId="4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209" fontId="21" fillId="0" borderId="0" xfId="0" applyNumberFormat="1" applyFont="1" applyAlignment="1">
      <alignment horizontal="right" vertical="center"/>
    </xf>
    <xf numFmtId="196" fontId="0" fillId="0" borderId="0" xfId="0" applyNumberFormat="1" applyFont="1" applyAlignment="1">
      <alignment horizontal="right" vertical="center"/>
    </xf>
    <xf numFmtId="196" fontId="0" fillId="0" borderId="0" xfId="0" applyNumberFormat="1" applyAlignment="1">
      <alignment horizontal="right" vertical="center"/>
    </xf>
    <xf numFmtId="188" fontId="0" fillId="0" borderId="0" xfId="0" applyNumberFormat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1" fontId="4" fillId="0" borderId="1" xfId="0" applyNumberFormat="1" applyFont="1" applyBorder="1" applyAlignment="1">
      <alignment vertical="center"/>
    </xf>
    <xf numFmtId="198" fontId="0" fillId="0" borderId="0" xfId="0" applyNumberForma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195" fontId="0" fillId="0" borderId="0" xfId="0" applyNumberFormat="1" applyFont="1" applyAlignment="1">
      <alignment horizontal="right" vertical="center"/>
    </xf>
    <xf numFmtId="195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 wrapText="1"/>
    </xf>
    <xf numFmtId="195" fontId="4" fillId="0" borderId="1" xfId="0" applyNumberFormat="1" applyFont="1" applyBorder="1" applyAlignment="1">
      <alignment horizontal="center" vertical="center" wrapText="1"/>
    </xf>
    <xf numFmtId="209" fontId="4" fillId="0" borderId="1" xfId="0" applyNumberFormat="1" applyFont="1" applyBorder="1" applyAlignment="1">
      <alignment horizontal="center" vertical="center" wrapText="1"/>
    </xf>
    <xf numFmtId="188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196" fontId="4" fillId="0" borderId="1" xfId="0" applyNumberFormat="1" applyFont="1" applyBorder="1" applyAlignment="1">
      <alignment horizontal="right" vertical="center" wrapText="1"/>
    </xf>
    <xf numFmtId="188" fontId="4" fillId="0" borderId="1" xfId="0" applyNumberFormat="1" applyFont="1" applyBorder="1" applyAlignment="1">
      <alignment horizontal="right" vertical="center"/>
    </xf>
    <xf numFmtId="0" fontId="4" fillId="0" borderId="1" xfId="16" applyFont="1" applyBorder="1" applyAlignment="1">
      <alignment horizontal="right" vertical="center"/>
      <protection/>
    </xf>
    <xf numFmtId="0" fontId="23" fillId="0" borderId="5" xfId="0" applyFont="1" applyBorder="1" applyAlignment="1">
      <alignment horizontal="center" vertical="center"/>
    </xf>
    <xf numFmtId="209" fontId="22" fillId="0" borderId="1" xfId="16" applyNumberFormat="1" applyFont="1" applyBorder="1" applyAlignment="1">
      <alignment horizontal="right" vertical="center"/>
      <protection/>
    </xf>
    <xf numFmtId="195" fontId="4" fillId="0" borderId="1" xfId="16" applyNumberFormat="1" applyFont="1" applyBorder="1" applyAlignment="1">
      <alignment horizontal="right" vertical="center"/>
      <protection/>
    </xf>
    <xf numFmtId="196" fontId="4" fillId="0" borderId="1" xfId="16" applyNumberFormat="1" applyFont="1" applyBorder="1" applyAlignment="1">
      <alignment horizontal="right" vertical="center"/>
      <protection/>
    </xf>
    <xf numFmtId="188" fontId="4" fillId="0" borderId="1" xfId="0" applyNumberFormat="1" applyFont="1" applyBorder="1" applyAlignment="1">
      <alignment horizontal="right" vertical="center" wrapText="1"/>
    </xf>
    <xf numFmtId="195" fontId="4" fillId="0" borderId="1" xfId="0" applyNumberFormat="1" applyFont="1" applyBorder="1" applyAlignment="1">
      <alignment horizontal="right" vertical="center"/>
    </xf>
    <xf numFmtId="196" fontId="4" fillId="0" borderId="1" xfId="0" applyNumberFormat="1" applyFont="1" applyBorder="1" applyAlignment="1">
      <alignment horizontal="right" vertical="center"/>
    </xf>
    <xf numFmtId="196" fontId="22" fillId="0" borderId="1" xfId="16" applyNumberFormat="1" applyFont="1" applyBorder="1" applyAlignment="1">
      <alignment horizontal="right" vertical="center"/>
      <protection/>
    </xf>
    <xf numFmtId="196" fontId="22" fillId="0" borderId="1" xfId="0" applyNumberFormat="1" applyFont="1" applyBorder="1" applyAlignment="1">
      <alignment horizontal="right" vertical="center"/>
    </xf>
    <xf numFmtId="188" fontId="4" fillId="0" borderId="6" xfId="0" applyNumberFormat="1" applyFont="1" applyBorder="1" applyAlignment="1">
      <alignment horizontal="right" vertical="center"/>
    </xf>
    <xf numFmtId="209" fontId="22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196" fontId="4" fillId="0" borderId="7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/>
    </xf>
    <xf numFmtId="209" fontId="22" fillId="0" borderId="0" xfId="0" applyNumberFormat="1" applyFont="1" applyBorder="1" applyAlignment="1">
      <alignment horizontal="right" vertical="center"/>
    </xf>
    <xf numFmtId="195" fontId="4" fillId="0" borderId="0" xfId="0" applyNumberFormat="1" applyFont="1" applyBorder="1" applyAlignment="1">
      <alignment horizontal="right" vertical="center"/>
    </xf>
    <xf numFmtId="19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9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95" fontId="4" fillId="0" borderId="0" xfId="0" applyNumberFormat="1" applyFont="1" applyAlignment="1">
      <alignment horizontal="right" vertical="center"/>
    </xf>
    <xf numFmtId="188" fontId="4" fillId="0" borderId="0" xfId="0" applyNumberFormat="1" applyFont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4" fillId="0" borderId="0" xfId="0" applyFont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195" fontId="4" fillId="0" borderId="1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88" fontId="4" fillId="0" borderId="1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workbookViewId="0" topLeftCell="A25">
      <selection activeCell="D33" sqref="D33"/>
    </sheetView>
  </sheetViews>
  <sheetFormatPr defaultColWidth="9.00390625" defaultRowHeight="14.25"/>
  <cols>
    <col min="1" max="1" width="4.875" style="10" customWidth="1"/>
    <col min="2" max="2" width="13.125" style="0" customWidth="1"/>
    <col min="3" max="3" width="7.25390625" style="10" customWidth="1"/>
    <col min="4" max="4" width="9.25390625" style="10" customWidth="1"/>
    <col min="5" max="5" width="9.00390625" style="10" customWidth="1"/>
    <col min="6" max="6" width="9.625" style="10" customWidth="1"/>
    <col min="7" max="7" width="12.50390625" style="10" customWidth="1"/>
    <col min="8" max="8" width="9.25390625" style="26" customWidth="1"/>
    <col min="9" max="9" width="8.00390625" style="10" customWidth="1"/>
  </cols>
  <sheetData>
    <row r="1" spans="1:9" ht="19.5">
      <c r="A1" s="118" t="s">
        <v>175</v>
      </c>
      <c r="B1" s="118"/>
      <c r="C1" s="118"/>
      <c r="D1" s="118"/>
      <c r="E1" s="118"/>
      <c r="F1" s="118"/>
      <c r="G1" s="118"/>
      <c r="H1" s="118"/>
      <c r="I1" s="118"/>
    </row>
    <row r="2" spans="4:7" ht="14.25">
      <c r="D2" s="20"/>
      <c r="E2" s="20"/>
      <c r="F2" s="20"/>
      <c r="G2" s="20"/>
    </row>
    <row r="3" spans="1:9" ht="14.25">
      <c r="A3" s="15" t="s">
        <v>48</v>
      </c>
      <c r="B3" s="15" t="s">
        <v>71</v>
      </c>
      <c r="C3" s="15" t="s">
        <v>49</v>
      </c>
      <c r="D3" s="17" t="s">
        <v>61</v>
      </c>
      <c r="E3" s="17" t="s">
        <v>72</v>
      </c>
      <c r="F3" s="17" t="s">
        <v>73</v>
      </c>
      <c r="G3" s="17" t="s">
        <v>74</v>
      </c>
      <c r="H3" s="27" t="s">
        <v>75</v>
      </c>
      <c r="I3" s="18" t="s">
        <v>52</v>
      </c>
    </row>
    <row r="4" spans="1:9" ht="14.25">
      <c r="A4" s="14">
        <v>1</v>
      </c>
      <c r="B4" s="19" t="s">
        <v>76</v>
      </c>
      <c r="C4" s="22" t="s">
        <v>16</v>
      </c>
      <c r="D4" s="21">
        <f>(30*1.08)*1.05</f>
        <v>34.02000000000001</v>
      </c>
      <c r="E4" s="21">
        <v>18</v>
      </c>
      <c r="F4" s="21">
        <f>D4*E4</f>
        <v>612.3600000000001</v>
      </c>
      <c r="G4" s="21"/>
      <c r="H4" s="28"/>
      <c r="I4" s="14"/>
    </row>
    <row r="5" spans="1:9" ht="14.25">
      <c r="A5" s="14">
        <v>2</v>
      </c>
      <c r="B5" s="19" t="s">
        <v>76</v>
      </c>
      <c r="C5" s="22" t="s">
        <v>77</v>
      </c>
      <c r="D5" s="21"/>
      <c r="E5" s="21">
        <v>18</v>
      </c>
      <c r="F5" s="21">
        <f aca="true" t="shared" si="0" ref="F5:F70">D5*E5</f>
        <v>0</v>
      </c>
      <c r="G5" s="21"/>
      <c r="H5" s="28"/>
      <c r="I5" s="14"/>
    </row>
    <row r="6" spans="1:9" ht="14.25">
      <c r="A6" s="14">
        <v>3</v>
      </c>
      <c r="B6" s="19" t="s">
        <v>76</v>
      </c>
      <c r="C6" s="22" t="s">
        <v>78</v>
      </c>
      <c r="D6" s="21"/>
      <c r="E6" s="21">
        <v>18</v>
      </c>
      <c r="F6" s="21">
        <f t="shared" si="0"/>
        <v>0</v>
      </c>
      <c r="G6" s="21"/>
      <c r="H6" s="28"/>
      <c r="I6" s="14"/>
    </row>
    <row r="7" spans="1:9" ht="14.25">
      <c r="A7" s="14">
        <v>4</v>
      </c>
      <c r="B7" s="19" t="s">
        <v>76</v>
      </c>
      <c r="C7" s="22" t="s">
        <v>79</v>
      </c>
      <c r="D7" s="21"/>
      <c r="E7" s="21">
        <v>18</v>
      </c>
      <c r="F7" s="21">
        <f t="shared" si="0"/>
        <v>0</v>
      </c>
      <c r="G7" s="21"/>
      <c r="H7" s="28"/>
      <c r="I7" s="14"/>
    </row>
    <row r="8" spans="1:9" ht="14.25">
      <c r="A8" s="14">
        <v>5</v>
      </c>
      <c r="B8" s="19" t="s">
        <v>76</v>
      </c>
      <c r="C8" s="22" t="s">
        <v>80</v>
      </c>
      <c r="D8" s="21"/>
      <c r="E8" s="21">
        <v>18</v>
      </c>
      <c r="F8" s="21">
        <f t="shared" si="0"/>
        <v>0</v>
      </c>
      <c r="G8" s="21"/>
      <c r="H8" s="28"/>
      <c r="I8" s="14"/>
    </row>
    <row r="9" spans="1:9" ht="14.25">
      <c r="A9" s="14">
        <v>6</v>
      </c>
      <c r="B9" s="19" t="s">
        <v>174</v>
      </c>
      <c r="C9" s="22" t="s">
        <v>154</v>
      </c>
      <c r="D9" s="21"/>
      <c r="E9" s="21">
        <v>18</v>
      </c>
      <c r="F9" s="21">
        <f t="shared" si="0"/>
        <v>0</v>
      </c>
      <c r="G9" s="21"/>
      <c r="H9" s="28"/>
      <c r="I9" s="14"/>
    </row>
    <row r="10" spans="1:9" ht="14.25">
      <c r="A10" s="14">
        <v>7</v>
      </c>
      <c r="B10" s="19" t="s">
        <v>174</v>
      </c>
      <c r="C10" s="22" t="s">
        <v>81</v>
      </c>
      <c r="D10" s="21"/>
      <c r="E10" s="21">
        <v>18</v>
      </c>
      <c r="F10" s="21">
        <f t="shared" si="0"/>
        <v>0</v>
      </c>
      <c r="G10" s="21"/>
      <c r="H10" s="28"/>
      <c r="I10" s="14"/>
    </row>
    <row r="11" spans="1:9" ht="14.25">
      <c r="A11" s="14">
        <v>8</v>
      </c>
      <c r="B11" s="19" t="s">
        <v>174</v>
      </c>
      <c r="C11" s="22" t="s">
        <v>82</v>
      </c>
      <c r="D11" s="21">
        <v>19.17</v>
      </c>
      <c r="E11" s="21">
        <v>18</v>
      </c>
      <c r="F11" s="21">
        <f t="shared" si="0"/>
        <v>345.06000000000006</v>
      </c>
      <c r="G11" s="21"/>
      <c r="H11" s="28"/>
      <c r="I11" s="14"/>
    </row>
    <row r="12" spans="1:9" ht="14.25">
      <c r="A12" s="14">
        <v>9</v>
      </c>
      <c r="B12" s="19" t="s">
        <v>174</v>
      </c>
      <c r="C12" s="22" t="s">
        <v>83</v>
      </c>
      <c r="D12" s="21">
        <v>14.04</v>
      </c>
      <c r="E12" s="21">
        <v>18</v>
      </c>
      <c r="F12" s="21">
        <f t="shared" si="0"/>
        <v>252.71999999999997</v>
      </c>
      <c r="G12" s="21"/>
      <c r="H12" s="28"/>
      <c r="I12" s="14"/>
    </row>
    <row r="13" spans="1:9" ht="14.25">
      <c r="A13" s="14">
        <v>10</v>
      </c>
      <c r="B13" s="19" t="s">
        <v>174</v>
      </c>
      <c r="C13" s="22" t="s">
        <v>84</v>
      </c>
      <c r="D13" s="21">
        <v>18.68</v>
      </c>
      <c r="E13" s="21">
        <v>18</v>
      </c>
      <c r="F13" s="21">
        <f t="shared" si="0"/>
        <v>336.24</v>
      </c>
      <c r="G13" s="21"/>
      <c r="H13" s="28"/>
      <c r="I13" s="14"/>
    </row>
    <row r="14" spans="1:9" ht="14.25">
      <c r="A14" s="14">
        <v>11</v>
      </c>
      <c r="B14" s="19" t="s">
        <v>174</v>
      </c>
      <c r="C14" s="22" t="s">
        <v>85</v>
      </c>
      <c r="D14" s="21">
        <v>20.7</v>
      </c>
      <c r="E14" s="21">
        <v>18</v>
      </c>
      <c r="F14" s="21">
        <f t="shared" si="0"/>
        <v>372.59999999999997</v>
      </c>
      <c r="G14" s="21"/>
      <c r="H14" s="28"/>
      <c r="I14" s="14"/>
    </row>
    <row r="15" spans="1:9" ht="14.25">
      <c r="A15" s="14">
        <v>12</v>
      </c>
      <c r="B15" s="19" t="s">
        <v>158</v>
      </c>
      <c r="C15" s="22" t="s">
        <v>57</v>
      </c>
      <c r="D15" s="21">
        <f>30*1.2</f>
        <v>36</v>
      </c>
      <c r="E15" s="21">
        <v>18</v>
      </c>
      <c r="F15" s="21">
        <f t="shared" si="0"/>
        <v>648</v>
      </c>
      <c r="G15" s="21"/>
      <c r="H15" s="28"/>
      <c r="I15" s="14"/>
    </row>
    <row r="16" spans="1:9" ht="14.25">
      <c r="A16" s="14">
        <v>13</v>
      </c>
      <c r="B16" s="19" t="s">
        <v>158</v>
      </c>
      <c r="C16" s="22" t="s">
        <v>45</v>
      </c>
      <c r="D16" s="21">
        <f>(42+22)*1.2</f>
        <v>76.8</v>
      </c>
      <c r="E16" s="21">
        <v>18</v>
      </c>
      <c r="F16" s="21">
        <f t="shared" si="0"/>
        <v>1382.3999999999999</v>
      </c>
      <c r="G16" s="21" t="s">
        <v>127</v>
      </c>
      <c r="H16" s="28">
        <v>0.8</v>
      </c>
      <c r="I16" s="14"/>
    </row>
    <row r="17" spans="1:9" ht="14.25">
      <c r="A17" s="14">
        <v>14</v>
      </c>
      <c r="B17" s="19" t="s">
        <v>158</v>
      </c>
      <c r="C17" s="22" t="s">
        <v>46</v>
      </c>
      <c r="D17" s="21">
        <f>(72+20)*1.05</f>
        <v>96.60000000000001</v>
      </c>
      <c r="E17" s="21">
        <v>18</v>
      </c>
      <c r="F17" s="21">
        <f t="shared" si="0"/>
        <v>1738.8000000000002</v>
      </c>
      <c r="G17" s="21"/>
      <c r="H17" s="28"/>
      <c r="I17" s="14"/>
    </row>
    <row r="18" spans="1:9" ht="14.25">
      <c r="A18" s="14">
        <v>15</v>
      </c>
      <c r="B18" s="19" t="s">
        <v>158</v>
      </c>
      <c r="C18" s="22" t="s">
        <v>43</v>
      </c>
      <c r="D18" s="21">
        <f>(60*1.5*1.8+20*1.5+40*1.2)*1.2</f>
        <v>288</v>
      </c>
      <c r="E18" s="21">
        <v>18</v>
      </c>
      <c r="F18" s="21">
        <f t="shared" si="0"/>
        <v>5184</v>
      </c>
      <c r="G18" s="21" t="s">
        <v>128</v>
      </c>
      <c r="H18" s="28">
        <v>1</v>
      </c>
      <c r="I18" s="14"/>
    </row>
    <row r="19" spans="1:9" ht="14.25">
      <c r="A19" s="14">
        <v>16</v>
      </c>
      <c r="B19" s="19" t="s">
        <v>166</v>
      </c>
      <c r="C19" s="22" t="s">
        <v>86</v>
      </c>
      <c r="D19" s="21"/>
      <c r="E19" s="21">
        <v>18</v>
      </c>
      <c r="F19" s="21">
        <f t="shared" si="0"/>
        <v>0</v>
      </c>
      <c r="G19" s="21" t="s">
        <v>128</v>
      </c>
      <c r="H19" s="28">
        <v>1</v>
      </c>
      <c r="I19" s="14" t="s">
        <v>147</v>
      </c>
    </row>
    <row r="20" spans="1:9" ht="14.25">
      <c r="A20" s="14">
        <v>17</v>
      </c>
      <c r="B20" s="19" t="s">
        <v>166</v>
      </c>
      <c r="C20" s="22" t="s">
        <v>39</v>
      </c>
      <c r="D20" s="21">
        <f>(4*18*1.5+3*16*0.8+36)*1.2</f>
        <v>218.88</v>
      </c>
      <c r="E20" s="21">
        <v>18</v>
      </c>
      <c r="F20" s="21">
        <f t="shared" si="0"/>
        <v>3939.84</v>
      </c>
      <c r="G20" s="21" t="s">
        <v>129</v>
      </c>
      <c r="H20" s="28">
        <v>0.5</v>
      </c>
      <c r="I20" s="14"/>
    </row>
    <row r="21" spans="1:9" ht="14.25">
      <c r="A21" s="14">
        <v>18</v>
      </c>
      <c r="B21" s="19" t="s">
        <v>166</v>
      </c>
      <c r="C21" s="22" t="s">
        <v>87</v>
      </c>
      <c r="D21" s="21">
        <f>(36+30*0.8+20*0.8)*1.05</f>
        <v>79.8</v>
      </c>
      <c r="E21" s="21">
        <v>18</v>
      </c>
      <c r="F21" s="21">
        <f t="shared" si="0"/>
        <v>1436.3999999999999</v>
      </c>
      <c r="G21" s="21"/>
      <c r="H21" s="28"/>
      <c r="I21" s="14"/>
    </row>
    <row r="22" spans="1:9" ht="14.25">
      <c r="A22" s="14">
        <v>19</v>
      </c>
      <c r="B22" s="19" t="s">
        <v>166</v>
      </c>
      <c r="C22" s="22" t="s">
        <v>88</v>
      </c>
      <c r="D22" s="21"/>
      <c r="E22" s="21">
        <v>18</v>
      </c>
      <c r="F22" s="21">
        <f t="shared" si="0"/>
        <v>0</v>
      </c>
      <c r="G22" s="21"/>
      <c r="H22" s="28"/>
      <c r="I22" s="14" t="s">
        <v>147</v>
      </c>
    </row>
    <row r="23" spans="1:9" ht="14.25">
      <c r="A23" s="14">
        <v>20</v>
      </c>
      <c r="B23" s="19" t="s">
        <v>167</v>
      </c>
      <c r="C23" s="22" t="s">
        <v>31</v>
      </c>
      <c r="D23" s="21">
        <f>(32*1.7+40+32+30+24)*1.2</f>
        <v>216.48</v>
      </c>
      <c r="E23" s="21">
        <v>18</v>
      </c>
      <c r="F23" s="21">
        <f t="shared" si="0"/>
        <v>3896.64</v>
      </c>
      <c r="G23" s="21" t="s">
        <v>130</v>
      </c>
      <c r="H23" s="28">
        <v>1.2</v>
      </c>
      <c r="I23" s="14"/>
    </row>
    <row r="24" spans="1:9" ht="14.25">
      <c r="A24" s="14">
        <v>21</v>
      </c>
      <c r="B24" s="19" t="s">
        <v>166</v>
      </c>
      <c r="C24" s="22" t="s">
        <v>67</v>
      </c>
      <c r="D24" s="21">
        <f>(51*1.5+30+25)*1.2</f>
        <v>157.79999999999998</v>
      </c>
      <c r="E24" s="21">
        <v>18</v>
      </c>
      <c r="F24" s="21">
        <f t="shared" si="0"/>
        <v>2840.3999999999996</v>
      </c>
      <c r="G24" s="21"/>
      <c r="H24" s="28"/>
      <c r="I24" s="14"/>
    </row>
    <row r="25" spans="1:9" ht="14.25">
      <c r="A25" s="14">
        <v>22</v>
      </c>
      <c r="B25" s="19" t="s">
        <v>166</v>
      </c>
      <c r="C25" s="22" t="s">
        <v>70</v>
      </c>
      <c r="D25" s="21">
        <f>70*1.7*1.05</f>
        <v>124.95</v>
      </c>
      <c r="E25" s="21">
        <v>18</v>
      </c>
      <c r="F25" s="21">
        <f t="shared" si="0"/>
        <v>2249.1</v>
      </c>
      <c r="G25" s="21" t="s">
        <v>127</v>
      </c>
      <c r="H25" s="28">
        <v>0.8</v>
      </c>
      <c r="I25" s="14"/>
    </row>
    <row r="26" spans="1:9" ht="14.25">
      <c r="A26" s="14">
        <v>23</v>
      </c>
      <c r="B26" s="19" t="s">
        <v>158</v>
      </c>
      <c r="C26" s="22" t="s">
        <v>41</v>
      </c>
      <c r="D26" s="21">
        <f>(30+22*1.8)*1.05</f>
        <v>73.08</v>
      </c>
      <c r="E26" s="21">
        <v>18</v>
      </c>
      <c r="F26" s="21">
        <f t="shared" si="0"/>
        <v>1315.44</v>
      </c>
      <c r="G26" s="21"/>
      <c r="H26" s="28"/>
      <c r="I26" s="14"/>
    </row>
    <row r="27" spans="1:9" ht="14.25">
      <c r="A27" s="14">
        <v>24</v>
      </c>
      <c r="B27" s="19" t="s">
        <v>166</v>
      </c>
      <c r="C27" s="22" t="s">
        <v>38</v>
      </c>
      <c r="D27" s="21">
        <f>(70*1.5+20)*1.05</f>
        <v>131.25</v>
      </c>
      <c r="E27" s="21">
        <v>18</v>
      </c>
      <c r="F27" s="21">
        <f t="shared" si="0"/>
        <v>2362.5</v>
      </c>
      <c r="G27" s="21"/>
      <c r="H27" s="28"/>
      <c r="I27" s="14"/>
    </row>
    <row r="28" spans="1:9" ht="14.25">
      <c r="A28" s="14">
        <v>25</v>
      </c>
      <c r="B28" s="19" t="s">
        <v>158</v>
      </c>
      <c r="C28" s="22" t="s">
        <v>47</v>
      </c>
      <c r="D28" s="21">
        <f>(72+22)*1.05</f>
        <v>98.7</v>
      </c>
      <c r="E28" s="21">
        <v>18</v>
      </c>
      <c r="F28" s="21">
        <f t="shared" si="0"/>
        <v>1776.6000000000001</v>
      </c>
      <c r="G28" s="21"/>
      <c r="H28" s="28"/>
      <c r="I28" s="14"/>
    </row>
    <row r="29" spans="1:9" ht="14.25">
      <c r="A29" s="14">
        <v>26</v>
      </c>
      <c r="B29" s="19" t="s">
        <v>166</v>
      </c>
      <c r="C29" s="22" t="s">
        <v>60</v>
      </c>
      <c r="D29" s="21">
        <f>(70*1.5+20)*1.05</f>
        <v>131.25</v>
      </c>
      <c r="E29" s="21">
        <v>18</v>
      </c>
      <c r="F29" s="21">
        <f t="shared" si="0"/>
        <v>2362.5</v>
      </c>
      <c r="G29" s="21"/>
      <c r="H29" s="28"/>
      <c r="I29" s="14"/>
    </row>
    <row r="30" spans="1:9" ht="14.25">
      <c r="A30" s="14">
        <v>27</v>
      </c>
      <c r="B30" s="19" t="s">
        <v>166</v>
      </c>
      <c r="C30" s="22" t="s">
        <v>40</v>
      </c>
      <c r="D30" s="21">
        <f>(20+24+20*0.8+20*0.8)*0.9</f>
        <v>68.4</v>
      </c>
      <c r="E30" s="21">
        <v>18</v>
      </c>
      <c r="F30" s="21">
        <f t="shared" si="0"/>
        <v>1231.2</v>
      </c>
      <c r="G30" s="21"/>
      <c r="H30" s="28"/>
      <c r="I30" s="14"/>
    </row>
    <row r="31" spans="1:9" ht="14.25">
      <c r="A31" s="14">
        <v>28</v>
      </c>
      <c r="B31" s="19" t="s">
        <v>158</v>
      </c>
      <c r="C31" s="22" t="s">
        <v>44</v>
      </c>
      <c r="D31" s="21">
        <f>(48*1.5+45*1.5*0.8+48)*1.2</f>
        <v>208.79999999999998</v>
      </c>
      <c r="E31" s="21">
        <v>18</v>
      </c>
      <c r="F31" s="21">
        <f t="shared" si="0"/>
        <v>3758.3999999999996</v>
      </c>
      <c r="G31" s="21"/>
      <c r="H31" s="28"/>
      <c r="I31" s="14"/>
    </row>
    <row r="32" spans="1:9" ht="14.25">
      <c r="A32" s="14">
        <v>29</v>
      </c>
      <c r="B32" s="19" t="s">
        <v>167</v>
      </c>
      <c r="C32" s="22" t="s">
        <v>66</v>
      </c>
      <c r="D32" s="21">
        <f>(32*1.5+32*0.8+32*1.5+40)*0.9</f>
        <v>145.44</v>
      </c>
      <c r="E32" s="21">
        <v>18</v>
      </c>
      <c r="F32" s="21">
        <f t="shared" si="0"/>
        <v>2617.92</v>
      </c>
      <c r="G32" s="21"/>
      <c r="H32" s="28"/>
      <c r="I32" s="14"/>
    </row>
    <row r="33" spans="1:9" ht="14.25">
      <c r="A33" s="14">
        <v>30</v>
      </c>
      <c r="B33" s="19" t="s">
        <v>166</v>
      </c>
      <c r="C33" s="22" t="s">
        <v>69</v>
      </c>
      <c r="D33" s="21">
        <f>(70*1.5+20+22)*1.2</f>
        <v>176.4</v>
      </c>
      <c r="E33" s="21">
        <v>18</v>
      </c>
      <c r="F33" s="21">
        <f t="shared" si="0"/>
        <v>3175.2000000000003</v>
      </c>
      <c r="G33" s="25" t="s">
        <v>131</v>
      </c>
      <c r="H33" s="28">
        <v>0.8</v>
      </c>
      <c r="I33" s="14"/>
    </row>
    <row r="34" spans="1:9" ht="14.25">
      <c r="A34" s="14">
        <v>31</v>
      </c>
      <c r="B34" s="19" t="s">
        <v>159</v>
      </c>
      <c r="C34" s="22" t="s">
        <v>90</v>
      </c>
      <c r="D34" s="21">
        <f>60*1.5*1.2</f>
        <v>108</v>
      </c>
      <c r="E34" s="21">
        <v>18</v>
      </c>
      <c r="F34" s="21">
        <f t="shared" si="0"/>
        <v>1944</v>
      </c>
      <c r="G34" s="21"/>
      <c r="H34" s="28"/>
      <c r="I34" s="14"/>
    </row>
    <row r="35" spans="1:9" ht="14.25">
      <c r="A35" s="14">
        <v>32</v>
      </c>
      <c r="B35" s="19" t="s">
        <v>89</v>
      </c>
      <c r="C35" s="22" t="s">
        <v>37</v>
      </c>
      <c r="D35" s="21">
        <f>(3*15*1.5+39*0.35+36*0.18)*1.05</f>
        <v>92.01150000000001</v>
      </c>
      <c r="E35" s="21">
        <v>18</v>
      </c>
      <c r="F35" s="21">
        <f t="shared" si="0"/>
        <v>1656.2070000000003</v>
      </c>
      <c r="G35" s="21"/>
      <c r="H35" s="28"/>
      <c r="I35" s="14"/>
    </row>
    <row r="36" spans="1:9" ht="14.25">
      <c r="A36" s="14">
        <v>33</v>
      </c>
      <c r="B36" s="19" t="s">
        <v>89</v>
      </c>
      <c r="C36" s="22" t="s">
        <v>91</v>
      </c>
      <c r="D36" s="21"/>
      <c r="E36" s="21">
        <v>18</v>
      </c>
      <c r="F36" s="21">
        <f t="shared" si="0"/>
        <v>0</v>
      </c>
      <c r="G36" s="21"/>
      <c r="H36" s="28"/>
      <c r="I36" s="14" t="s">
        <v>147</v>
      </c>
    </row>
    <row r="37" spans="1:9" ht="14.25">
      <c r="A37" s="14">
        <v>34</v>
      </c>
      <c r="B37" s="19" t="s">
        <v>89</v>
      </c>
      <c r="C37" s="22" t="s">
        <v>92</v>
      </c>
      <c r="D37" s="21"/>
      <c r="E37" s="21">
        <v>18</v>
      </c>
      <c r="F37" s="21">
        <f t="shared" si="0"/>
        <v>0</v>
      </c>
      <c r="G37" s="23" t="s">
        <v>132</v>
      </c>
      <c r="H37" s="28">
        <v>1.2</v>
      </c>
      <c r="I37" s="14" t="s">
        <v>147</v>
      </c>
    </row>
    <row r="38" spans="1:9" ht="14.25">
      <c r="A38" s="14">
        <v>35</v>
      </c>
      <c r="B38" s="19" t="s">
        <v>89</v>
      </c>
      <c r="C38" s="22" t="s">
        <v>36</v>
      </c>
      <c r="D38" s="21">
        <f>(70*1.5+20)*0.9</f>
        <v>112.5</v>
      </c>
      <c r="E38" s="21">
        <v>18</v>
      </c>
      <c r="F38" s="21">
        <f t="shared" si="0"/>
        <v>2025</v>
      </c>
      <c r="G38" s="21"/>
      <c r="H38" s="28"/>
      <c r="I38" s="14"/>
    </row>
    <row r="39" spans="1:9" ht="14.25">
      <c r="A39" s="14">
        <v>36</v>
      </c>
      <c r="B39" s="19" t="s">
        <v>89</v>
      </c>
      <c r="C39" s="22" t="s">
        <v>155</v>
      </c>
      <c r="D39" s="21">
        <f>(45*1.5+20+20*2.4)*1.2</f>
        <v>162.6</v>
      </c>
      <c r="E39" s="21">
        <v>18</v>
      </c>
      <c r="F39" s="21">
        <f t="shared" si="0"/>
        <v>2926.7999999999997</v>
      </c>
      <c r="G39" s="21"/>
      <c r="H39" s="28"/>
      <c r="I39" s="14"/>
    </row>
    <row r="40" spans="1:9" ht="14.25">
      <c r="A40" s="14">
        <v>37</v>
      </c>
      <c r="B40" s="19" t="s">
        <v>93</v>
      </c>
      <c r="C40" s="22" t="s">
        <v>18</v>
      </c>
      <c r="D40" s="21">
        <f>(30*1.5+30*1.91)*1.2</f>
        <v>122.75999999999999</v>
      </c>
      <c r="E40" s="21">
        <v>18</v>
      </c>
      <c r="F40" s="21">
        <f t="shared" si="0"/>
        <v>2209.68</v>
      </c>
      <c r="G40" s="21" t="s">
        <v>130</v>
      </c>
      <c r="H40" s="28">
        <v>1.2</v>
      </c>
      <c r="I40" s="14"/>
    </row>
    <row r="41" spans="1:9" ht="14.25">
      <c r="A41" s="14">
        <v>38</v>
      </c>
      <c r="B41" s="19" t="s">
        <v>93</v>
      </c>
      <c r="C41" s="22" t="s">
        <v>19</v>
      </c>
      <c r="D41" s="21">
        <f>(45*1.5+10+30*1.5)*1.2</f>
        <v>147</v>
      </c>
      <c r="E41" s="21">
        <v>18</v>
      </c>
      <c r="F41" s="21">
        <f t="shared" si="0"/>
        <v>2646</v>
      </c>
      <c r="G41" s="21"/>
      <c r="H41" s="28"/>
      <c r="I41" s="14"/>
    </row>
    <row r="42" spans="1:9" ht="14.25">
      <c r="A42" s="14">
        <v>39</v>
      </c>
      <c r="B42" s="19" t="s">
        <v>93</v>
      </c>
      <c r="C42" s="22" t="s">
        <v>94</v>
      </c>
      <c r="D42" s="21">
        <f>(14*1.5+22+22*0.8+30*1.5+30*1.5+16)*1.2</f>
        <v>199.92</v>
      </c>
      <c r="E42" s="21">
        <v>18</v>
      </c>
      <c r="F42" s="21">
        <f t="shared" si="0"/>
        <v>3598.56</v>
      </c>
      <c r="G42" s="21" t="s">
        <v>129</v>
      </c>
      <c r="H42" s="28">
        <v>0.5</v>
      </c>
      <c r="I42" s="14"/>
    </row>
    <row r="43" spans="1:9" ht="14.25">
      <c r="A43" s="14">
        <v>40</v>
      </c>
      <c r="B43" s="19" t="s">
        <v>93</v>
      </c>
      <c r="C43" s="22" t="s">
        <v>17</v>
      </c>
      <c r="D43" s="21">
        <f>(30*1.5+30*1.56+30)*1.2</f>
        <v>146.16</v>
      </c>
      <c r="E43" s="21">
        <v>18</v>
      </c>
      <c r="F43" s="21">
        <f t="shared" si="0"/>
        <v>2630.88</v>
      </c>
      <c r="G43" s="21" t="s">
        <v>146</v>
      </c>
      <c r="H43" s="28">
        <v>1</v>
      </c>
      <c r="I43" s="14"/>
    </row>
    <row r="44" spans="1:9" ht="14.25">
      <c r="A44" s="14">
        <v>41</v>
      </c>
      <c r="B44" s="19" t="s">
        <v>93</v>
      </c>
      <c r="C44" s="22" t="s">
        <v>20</v>
      </c>
      <c r="D44" s="21">
        <f>(14*1.5+22+22*0.8+30*1.5)*1.2</f>
        <v>126.71999999999998</v>
      </c>
      <c r="E44" s="21">
        <v>18</v>
      </c>
      <c r="F44" s="21">
        <f t="shared" si="0"/>
        <v>2280.9599999999996</v>
      </c>
      <c r="G44" s="21" t="s">
        <v>133</v>
      </c>
      <c r="H44" s="28">
        <v>2.2</v>
      </c>
      <c r="I44" s="14"/>
    </row>
    <row r="45" spans="1:9" ht="14.25">
      <c r="A45" s="14">
        <v>42</v>
      </c>
      <c r="B45" s="19" t="s">
        <v>93</v>
      </c>
      <c r="C45" s="22" t="s">
        <v>95</v>
      </c>
      <c r="D45" s="21"/>
      <c r="E45" s="21">
        <v>18</v>
      </c>
      <c r="F45" s="21">
        <f t="shared" si="0"/>
        <v>0</v>
      </c>
      <c r="G45" s="21"/>
      <c r="H45" s="28"/>
      <c r="I45" s="14" t="s">
        <v>147</v>
      </c>
    </row>
    <row r="46" spans="1:9" ht="14.25">
      <c r="A46" s="14">
        <v>43</v>
      </c>
      <c r="B46" s="19" t="s">
        <v>93</v>
      </c>
      <c r="C46" s="22" t="s">
        <v>15</v>
      </c>
      <c r="D46" s="21">
        <f>(32*1.7+30+30)*1.05</f>
        <v>120.12</v>
      </c>
      <c r="E46" s="21">
        <v>18</v>
      </c>
      <c r="F46" s="21">
        <f t="shared" si="0"/>
        <v>2162.16</v>
      </c>
      <c r="G46" s="21"/>
      <c r="H46" s="28"/>
      <c r="I46" s="14"/>
    </row>
    <row r="47" spans="1:9" ht="14.25">
      <c r="A47" s="14">
        <v>44</v>
      </c>
      <c r="B47" s="19" t="s">
        <v>93</v>
      </c>
      <c r="C47" s="22" t="s">
        <v>22</v>
      </c>
      <c r="D47" s="21">
        <f>(32*1.5+30*1.08)*1.4</f>
        <v>112.56</v>
      </c>
      <c r="E47" s="21">
        <v>18</v>
      </c>
      <c r="F47" s="21">
        <f t="shared" si="0"/>
        <v>2026.08</v>
      </c>
      <c r="G47" s="21" t="s">
        <v>134</v>
      </c>
      <c r="H47" s="28">
        <v>3.2</v>
      </c>
      <c r="I47" s="14"/>
    </row>
    <row r="48" spans="1:9" ht="14.25">
      <c r="A48" s="14">
        <v>45</v>
      </c>
      <c r="B48" s="19" t="s">
        <v>96</v>
      </c>
      <c r="C48" s="22" t="s">
        <v>26</v>
      </c>
      <c r="D48" s="21">
        <f>28*1.7*1.2</f>
        <v>57.12</v>
      </c>
      <c r="E48" s="21">
        <v>18</v>
      </c>
      <c r="F48" s="21">
        <f t="shared" si="0"/>
        <v>1028.1599999999999</v>
      </c>
      <c r="G48" s="21"/>
      <c r="H48" s="28"/>
      <c r="I48" s="14"/>
    </row>
    <row r="49" spans="1:9" ht="14.25">
      <c r="A49" s="14">
        <v>46</v>
      </c>
      <c r="B49" s="19" t="s">
        <v>96</v>
      </c>
      <c r="C49" s="22" t="s">
        <v>97</v>
      </c>
      <c r="D49" s="21"/>
      <c r="E49" s="21">
        <v>18</v>
      </c>
      <c r="F49" s="21">
        <f t="shared" si="0"/>
        <v>0</v>
      </c>
      <c r="G49" s="21"/>
      <c r="H49" s="28"/>
      <c r="I49" s="14" t="s">
        <v>148</v>
      </c>
    </row>
    <row r="50" spans="1:9" ht="14.25">
      <c r="A50" s="14">
        <v>47</v>
      </c>
      <c r="B50" s="19" t="s">
        <v>96</v>
      </c>
      <c r="C50" s="22" t="s">
        <v>98</v>
      </c>
      <c r="D50" s="21"/>
      <c r="E50" s="21">
        <v>18</v>
      </c>
      <c r="F50" s="21">
        <f t="shared" si="0"/>
        <v>0</v>
      </c>
      <c r="G50" s="21"/>
      <c r="H50" s="28"/>
      <c r="I50" s="14"/>
    </row>
    <row r="51" spans="1:9" ht="14.25">
      <c r="A51" s="14">
        <v>48</v>
      </c>
      <c r="B51" s="19" t="s">
        <v>96</v>
      </c>
      <c r="C51" s="22" t="s">
        <v>28</v>
      </c>
      <c r="D51" s="21">
        <f>(30*1.5+36+13+9.5)*1.2</f>
        <v>124.19999999999999</v>
      </c>
      <c r="E51" s="21">
        <v>18</v>
      </c>
      <c r="F51" s="21">
        <f t="shared" si="0"/>
        <v>2235.6</v>
      </c>
      <c r="G51" s="21"/>
      <c r="H51" s="28"/>
      <c r="I51" s="14"/>
    </row>
    <row r="52" spans="1:9" ht="14.25">
      <c r="A52" s="14">
        <v>49</v>
      </c>
      <c r="B52" s="19" t="s">
        <v>96</v>
      </c>
      <c r="C52" s="22" t="s">
        <v>62</v>
      </c>
      <c r="D52" s="21">
        <f>(60*1.5+30*1.5+30*1.5+13)*1.4</f>
        <v>270.2</v>
      </c>
      <c r="E52" s="21">
        <v>18</v>
      </c>
      <c r="F52" s="21">
        <f t="shared" si="0"/>
        <v>4863.599999999999</v>
      </c>
      <c r="G52" s="21" t="s">
        <v>130</v>
      </c>
      <c r="H52" s="28">
        <v>1.2</v>
      </c>
      <c r="I52" s="14"/>
    </row>
    <row r="53" spans="1:9" ht="14.25">
      <c r="A53" s="14">
        <v>50</v>
      </c>
      <c r="B53" s="19" t="s">
        <v>96</v>
      </c>
      <c r="C53" s="22" t="s">
        <v>24</v>
      </c>
      <c r="D53" s="21">
        <f>(10*1.5+36+60*1.5)*1.05</f>
        <v>148.05</v>
      </c>
      <c r="E53" s="21">
        <v>18</v>
      </c>
      <c r="F53" s="21">
        <f t="shared" si="0"/>
        <v>2664.9</v>
      </c>
      <c r="G53" s="21"/>
      <c r="H53" s="28"/>
      <c r="I53" s="14"/>
    </row>
    <row r="54" spans="1:9" ht="14.25">
      <c r="A54" s="14">
        <v>51</v>
      </c>
      <c r="B54" s="19" t="s">
        <v>96</v>
      </c>
      <c r="C54" s="22" t="s">
        <v>25</v>
      </c>
      <c r="D54" s="21">
        <f>(34*0.9+22+30+14+9.4)*1.2</f>
        <v>127.19999999999999</v>
      </c>
      <c r="E54" s="21">
        <v>18</v>
      </c>
      <c r="F54" s="21">
        <f t="shared" si="0"/>
        <v>2289.6</v>
      </c>
      <c r="G54" s="21" t="s">
        <v>127</v>
      </c>
      <c r="H54" s="28">
        <v>0.8</v>
      </c>
      <c r="I54" s="14"/>
    </row>
    <row r="55" spans="1:9" ht="14.25">
      <c r="A55" s="14">
        <v>52</v>
      </c>
      <c r="B55" s="19" t="s">
        <v>96</v>
      </c>
      <c r="C55" s="22" t="s">
        <v>168</v>
      </c>
      <c r="D55" s="21">
        <f>30*1.5*0.9</f>
        <v>40.5</v>
      </c>
      <c r="E55" s="21">
        <v>18</v>
      </c>
      <c r="F55" s="21">
        <f t="shared" si="0"/>
        <v>729</v>
      </c>
      <c r="G55" s="21"/>
      <c r="H55" s="28"/>
      <c r="I55" s="14"/>
    </row>
    <row r="56" spans="1:9" ht="14.25">
      <c r="A56" s="14">
        <v>53</v>
      </c>
      <c r="B56" s="19" t="s">
        <v>157</v>
      </c>
      <c r="C56" s="22" t="s">
        <v>32</v>
      </c>
      <c r="D56" s="21">
        <f>(32*1.7+72*1.5)*1.2</f>
        <v>194.88</v>
      </c>
      <c r="E56" s="21">
        <v>18</v>
      </c>
      <c r="F56" s="21">
        <f t="shared" si="0"/>
        <v>3507.84</v>
      </c>
      <c r="G56" s="21" t="s">
        <v>128</v>
      </c>
      <c r="H56" s="28">
        <v>1</v>
      </c>
      <c r="I56" s="14"/>
    </row>
    <row r="57" spans="1:9" ht="14.25">
      <c r="A57" s="14">
        <v>54</v>
      </c>
      <c r="B57" s="19" t="s">
        <v>157</v>
      </c>
      <c r="C57" s="22" t="s">
        <v>99</v>
      </c>
      <c r="D57" s="21"/>
      <c r="E57" s="21">
        <v>18</v>
      </c>
      <c r="F57" s="21">
        <f t="shared" si="0"/>
        <v>0</v>
      </c>
      <c r="G57" s="21"/>
      <c r="H57" s="28"/>
      <c r="I57" s="14"/>
    </row>
    <row r="58" spans="1:9" ht="14.25">
      <c r="A58" s="14">
        <v>55</v>
      </c>
      <c r="B58" s="19" t="s">
        <v>157</v>
      </c>
      <c r="C58" s="22" t="s">
        <v>35</v>
      </c>
      <c r="D58" s="21"/>
      <c r="E58" s="21">
        <v>18</v>
      </c>
      <c r="F58" s="21">
        <f t="shared" si="0"/>
        <v>0</v>
      </c>
      <c r="G58" s="21"/>
      <c r="H58" s="28"/>
      <c r="I58" s="14" t="s">
        <v>171</v>
      </c>
    </row>
    <row r="59" spans="1:9" ht="14.25">
      <c r="A59" s="14">
        <v>56</v>
      </c>
      <c r="B59" s="19" t="s">
        <v>157</v>
      </c>
      <c r="C59" s="22" t="s">
        <v>100</v>
      </c>
      <c r="D59" s="21"/>
      <c r="E59" s="21">
        <v>18</v>
      </c>
      <c r="F59" s="21">
        <f t="shared" si="0"/>
        <v>0</v>
      </c>
      <c r="G59" s="21"/>
      <c r="H59" s="28"/>
      <c r="I59" s="14" t="s">
        <v>171</v>
      </c>
    </row>
    <row r="60" spans="1:9" ht="14.25">
      <c r="A60" s="14">
        <v>57</v>
      </c>
      <c r="B60" s="19" t="s">
        <v>157</v>
      </c>
      <c r="C60" s="22" t="s">
        <v>33</v>
      </c>
      <c r="D60" s="21">
        <f>(52*1.5+18+18*0.8+24)*0.9</f>
        <v>120.96000000000001</v>
      </c>
      <c r="E60" s="21">
        <v>18</v>
      </c>
      <c r="F60" s="21">
        <f t="shared" si="0"/>
        <v>2177.28</v>
      </c>
      <c r="G60" s="21"/>
      <c r="H60" s="28"/>
      <c r="I60" s="14"/>
    </row>
    <row r="61" spans="1:9" ht="14.25">
      <c r="A61" s="14">
        <v>58</v>
      </c>
      <c r="B61" s="19" t="s">
        <v>157</v>
      </c>
      <c r="C61" s="22" t="s">
        <v>68</v>
      </c>
      <c r="D61" s="21">
        <f>(56*1.5+18+18*0.8+20)*1.2</f>
        <v>163.68</v>
      </c>
      <c r="E61" s="21">
        <v>18</v>
      </c>
      <c r="F61" s="21">
        <f t="shared" si="0"/>
        <v>2946.2400000000002</v>
      </c>
      <c r="G61" s="28" t="s">
        <v>173</v>
      </c>
      <c r="H61" s="28">
        <v>0.8</v>
      </c>
      <c r="I61" s="14"/>
    </row>
    <row r="62" spans="1:9" ht="14.25">
      <c r="A62" s="14">
        <v>59</v>
      </c>
      <c r="B62" s="19" t="s">
        <v>101</v>
      </c>
      <c r="C62" s="22" t="s">
        <v>64</v>
      </c>
      <c r="D62" s="21">
        <f>(32*1.7+48*1.5)*1.2</f>
        <v>151.68</v>
      </c>
      <c r="E62" s="21">
        <v>18</v>
      </c>
      <c r="F62" s="21">
        <f t="shared" si="0"/>
        <v>2730.2400000000002</v>
      </c>
      <c r="G62" s="21"/>
      <c r="H62" s="28"/>
      <c r="I62" s="14"/>
    </row>
    <row r="63" spans="1:9" ht="14.25">
      <c r="A63" s="14">
        <v>60</v>
      </c>
      <c r="B63" s="19" t="s">
        <v>101</v>
      </c>
      <c r="C63" s="22" t="s">
        <v>65</v>
      </c>
      <c r="D63" s="21"/>
      <c r="E63" s="21">
        <v>18</v>
      </c>
      <c r="F63" s="21">
        <f t="shared" si="0"/>
        <v>0</v>
      </c>
      <c r="G63" s="21" t="s">
        <v>127</v>
      </c>
      <c r="H63" s="28">
        <v>0.8</v>
      </c>
      <c r="I63" s="14" t="s">
        <v>172</v>
      </c>
    </row>
    <row r="64" spans="1:9" ht="14.25">
      <c r="A64" s="14">
        <v>61</v>
      </c>
      <c r="B64" s="19" t="s">
        <v>101</v>
      </c>
      <c r="C64" s="22" t="s">
        <v>29</v>
      </c>
      <c r="D64" s="21">
        <f>(12*1.7+20+20*1.6+48*1.7)*1.4</f>
        <v>215.6</v>
      </c>
      <c r="E64" s="21">
        <v>18</v>
      </c>
      <c r="F64" s="21">
        <f t="shared" si="0"/>
        <v>3880.7999999999997</v>
      </c>
      <c r="G64" s="21" t="s">
        <v>133</v>
      </c>
      <c r="H64" s="28">
        <v>2.2</v>
      </c>
      <c r="I64" s="14"/>
    </row>
    <row r="65" spans="1:9" ht="14.25">
      <c r="A65" s="14">
        <v>62</v>
      </c>
      <c r="B65" s="19" t="s">
        <v>158</v>
      </c>
      <c r="C65" s="22" t="s">
        <v>42</v>
      </c>
      <c r="D65" s="21">
        <f>(52*1.5+48*1.5*0.8+20*1.5+20*1.2+20*1.2)*1.2</f>
        <v>256.32</v>
      </c>
      <c r="E65" s="21">
        <v>18</v>
      </c>
      <c r="F65" s="21">
        <f t="shared" si="0"/>
        <v>4613.76</v>
      </c>
      <c r="G65" s="21"/>
      <c r="H65" s="28"/>
      <c r="I65" s="14"/>
    </row>
    <row r="66" spans="1:9" ht="14.25">
      <c r="A66" s="14">
        <v>63</v>
      </c>
      <c r="B66" s="19" t="s">
        <v>101</v>
      </c>
      <c r="C66" s="22" t="s">
        <v>63</v>
      </c>
      <c r="D66" s="21">
        <f>(42*1.5+42*0.8+32*1.7+20+20*1.6)*0.9</f>
        <v>182.70000000000002</v>
      </c>
      <c r="E66" s="21">
        <v>18</v>
      </c>
      <c r="F66" s="21">
        <f t="shared" si="0"/>
        <v>3288.6000000000004</v>
      </c>
      <c r="G66" s="21"/>
      <c r="H66" s="28"/>
      <c r="I66" s="14"/>
    </row>
    <row r="67" spans="1:9" ht="14.25">
      <c r="A67" s="14">
        <v>64</v>
      </c>
      <c r="B67" s="19" t="s">
        <v>101</v>
      </c>
      <c r="C67" s="22" t="s">
        <v>30</v>
      </c>
      <c r="D67" s="21">
        <f>(32*1.5+32*0.8+45*1.7)*0.9</f>
        <v>135.09</v>
      </c>
      <c r="E67" s="21">
        <v>18</v>
      </c>
      <c r="F67" s="21">
        <f t="shared" si="0"/>
        <v>2431.62</v>
      </c>
      <c r="G67" s="21"/>
      <c r="H67" s="28"/>
      <c r="I67" s="14"/>
    </row>
    <row r="68" spans="1:9" ht="14.25">
      <c r="A68" s="14">
        <v>65</v>
      </c>
      <c r="B68" s="19" t="s">
        <v>10</v>
      </c>
      <c r="C68" s="22" t="s">
        <v>7</v>
      </c>
      <c r="D68" s="21">
        <f>(52+36*1.5)*1.2</f>
        <v>127.19999999999999</v>
      </c>
      <c r="E68" s="21">
        <v>18</v>
      </c>
      <c r="F68" s="21">
        <f t="shared" si="0"/>
        <v>2289.6</v>
      </c>
      <c r="G68" s="21" t="s">
        <v>127</v>
      </c>
      <c r="H68" s="28">
        <v>0.8</v>
      </c>
      <c r="I68" s="14"/>
    </row>
    <row r="69" spans="1:9" ht="14.25">
      <c r="A69" s="14">
        <v>66</v>
      </c>
      <c r="B69" s="19" t="s">
        <v>10</v>
      </c>
      <c r="C69" s="22" t="s">
        <v>8</v>
      </c>
      <c r="D69" s="21">
        <f>(30*1.5+60)*1.2</f>
        <v>126</v>
      </c>
      <c r="E69" s="21">
        <v>18</v>
      </c>
      <c r="F69" s="21">
        <f t="shared" si="0"/>
        <v>2268</v>
      </c>
      <c r="G69" s="21"/>
      <c r="H69" s="28"/>
      <c r="I69" s="14"/>
    </row>
    <row r="70" spans="1:9" ht="14.25">
      <c r="A70" s="14">
        <v>67</v>
      </c>
      <c r="B70" s="19" t="s">
        <v>10</v>
      </c>
      <c r="C70" s="22" t="s">
        <v>12</v>
      </c>
      <c r="D70" s="21">
        <f>(26*1.5+60+40+20)*1.2</f>
        <v>190.79999999999998</v>
      </c>
      <c r="E70" s="21">
        <v>18</v>
      </c>
      <c r="F70" s="21">
        <f t="shared" si="0"/>
        <v>3434.3999999999996</v>
      </c>
      <c r="G70" s="21"/>
      <c r="H70" s="28"/>
      <c r="I70" s="14"/>
    </row>
    <row r="71" spans="1:9" ht="14.25">
      <c r="A71" s="14">
        <v>68</v>
      </c>
      <c r="B71" s="19" t="s">
        <v>10</v>
      </c>
      <c r="C71" s="22" t="s">
        <v>9</v>
      </c>
      <c r="D71" s="21"/>
      <c r="E71" s="21">
        <v>18</v>
      </c>
      <c r="F71" s="21">
        <f aca="true" t="shared" si="1" ref="F71:F103">D71*E71</f>
        <v>0</v>
      </c>
      <c r="G71" s="21" t="s">
        <v>128</v>
      </c>
      <c r="H71" s="28">
        <v>1</v>
      </c>
      <c r="I71" s="16" t="s">
        <v>165</v>
      </c>
    </row>
    <row r="72" spans="1:9" ht="14.25">
      <c r="A72" s="14">
        <v>69</v>
      </c>
      <c r="B72" s="19" t="s">
        <v>10</v>
      </c>
      <c r="C72" s="22" t="s">
        <v>6</v>
      </c>
      <c r="D72" s="21">
        <f>(52+30*1.29+40+20)*1.2</f>
        <v>180.83999999999997</v>
      </c>
      <c r="E72" s="21">
        <v>18</v>
      </c>
      <c r="F72" s="21">
        <f t="shared" si="1"/>
        <v>3255.1199999999994</v>
      </c>
      <c r="G72" s="21"/>
      <c r="H72" s="28"/>
      <c r="I72" s="14"/>
    </row>
    <row r="73" spans="1:9" ht="14.25">
      <c r="A73" s="14">
        <v>70</v>
      </c>
      <c r="B73" s="19" t="s">
        <v>10</v>
      </c>
      <c r="C73" s="22" t="s">
        <v>13</v>
      </c>
      <c r="D73" s="21">
        <f>(48*1.5+24*1.5+40)*1.2</f>
        <v>177.6</v>
      </c>
      <c r="E73" s="21">
        <v>18</v>
      </c>
      <c r="F73" s="21">
        <f t="shared" si="1"/>
        <v>3196.7999999999997</v>
      </c>
      <c r="G73" s="21"/>
      <c r="H73" s="28"/>
      <c r="I73" s="14"/>
    </row>
    <row r="74" spans="1:9" ht="14.25">
      <c r="A74" s="14">
        <v>71</v>
      </c>
      <c r="B74" s="19" t="s">
        <v>10</v>
      </c>
      <c r="C74" s="22" t="s">
        <v>11</v>
      </c>
      <c r="D74" s="21">
        <f>(24*1.5+26*1.5+24*1.5+40)*1.2</f>
        <v>181.2</v>
      </c>
      <c r="E74" s="21">
        <v>18</v>
      </c>
      <c r="F74" s="21">
        <f t="shared" si="1"/>
        <v>3261.6</v>
      </c>
      <c r="G74" s="21"/>
      <c r="H74" s="28"/>
      <c r="I74" s="14"/>
    </row>
    <row r="75" spans="1:9" ht="14.25">
      <c r="A75" s="14">
        <v>72</v>
      </c>
      <c r="B75" s="19" t="s">
        <v>102</v>
      </c>
      <c r="C75" s="22" t="s">
        <v>56</v>
      </c>
      <c r="D75" s="21">
        <f>48*1.5*1.2</f>
        <v>86.39999999999999</v>
      </c>
      <c r="E75" s="21">
        <v>18</v>
      </c>
      <c r="F75" s="21">
        <f t="shared" si="1"/>
        <v>1555.1999999999998</v>
      </c>
      <c r="G75" s="21" t="s">
        <v>130</v>
      </c>
      <c r="H75" s="28">
        <v>1.2</v>
      </c>
      <c r="I75" s="14"/>
    </row>
    <row r="76" spans="1:9" ht="14.25">
      <c r="A76" s="14">
        <v>73</v>
      </c>
      <c r="B76" s="19" t="s">
        <v>157</v>
      </c>
      <c r="C76" s="22" t="s">
        <v>23</v>
      </c>
      <c r="D76" s="21"/>
      <c r="E76" s="21">
        <v>18</v>
      </c>
      <c r="F76" s="21">
        <f t="shared" si="1"/>
        <v>0</v>
      </c>
      <c r="G76" s="21"/>
      <c r="H76" s="28"/>
      <c r="I76" s="14" t="s">
        <v>171</v>
      </c>
    </row>
    <row r="77" spans="1:9" ht="14.25">
      <c r="A77" s="14">
        <v>74</v>
      </c>
      <c r="B77" s="19" t="s">
        <v>102</v>
      </c>
      <c r="C77" s="22" t="s">
        <v>103</v>
      </c>
      <c r="D77" s="21">
        <f>64*0.9</f>
        <v>57.6</v>
      </c>
      <c r="E77" s="21">
        <v>18</v>
      </c>
      <c r="F77" s="21">
        <f t="shared" si="1"/>
        <v>1036.8</v>
      </c>
      <c r="G77" s="21"/>
      <c r="H77" s="28"/>
      <c r="I77" s="14"/>
    </row>
    <row r="78" spans="1:9" ht="14.25">
      <c r="A78" s="14">
        <v>75</v>
      </c>
      <c r="B78" s="19" t="s">
        <v>156</v>
      </c>
      <c r="C78" s="22" t="s">
        <v>55</v>
      </c>
      <c r="D78" s="21">
        <f>(60*1.5+42*1.5*0.8)*1.2</f>
        <v>168.48</v>
      </c>
      <c r="E78" s="21">
        <v>18</v>
      </c>
      <c r="F78" s="21">
        <f t="shared" si="1"/>
        <v>3032.64</v>
      </c>
      <c r="G78" s="21"/>
      <c r="H78" s="28"/>
      <c r="I78" s="14"/>
    </row>
    <row r="79" spans="1:9" ht="14.25">
      <c r="A79" s="14">
        <v>76</v>
      </c>
      <c r="B79" s="19" t="s">
        <v>102</v>
      </c>
      <c r="C79" s="22" t="s">
        <v>104</v>
      </c>
      <c r="D79" s="21"/>
      <c r="E79" s="21">
        <v>18</v>
      </c>
      <c r="F79" s="21">
        <f t="shared" si="1"/>
        <v>0</v>
      </c>
      <c r="G79" s="21"/>
      <c r="H79" s="28"/>
      <c r="I79" s="14" t="s">
        <v>171</v>
      </c>
    </row>
    <row r="80" spans="1:9" ht="14.25">
      <c r="A80" s="14">
        <v>77</v>
      </c>
      <c r="B80" s="19" t="s">
        <v>157</v>
      </c>
      <c r="C80" s="22" t="s">
        <v>34</v>
      </c>
      <c r="D80" s="21">
        <f>(52*1.5+24+36)*0.9</f>
        <v>124.2</v>
      </c>
      <c r="E80" s="21">
        <v>18</v>
      </c>
      <c r="F80" s="21">
        <f t="shared" si="1"/>
        <v>2235.6</v>
      </c>
      <c r="G80" s="21"/>
      <c r="H80" s="28"/>
      <c r="I80" s="14"/>
    </row>
    <row r="81" spans="1:9" ht="14.25">
      <c r="A81" s="14">
        <v>78</v>
      </c>
      <c r="B81" s="19" t="s">
        <v>105</v>
      </c>
      <c r="C81" s="22" t="s">
        <v>21</v>
      </c>
      <c r="D81" s="21">
        <f>(30*1.08+30*1.08)*1.2</f>
        <v>77.76</v>
      </c>
      <c r="E81" s="21">
        <v>18</v>
      </c>
      <c r="F81" s="21">
        <f t="shared" si="1"/>
        <v>1399.68</v>
      </c>
      <c r="G81" s="21" t="s">
        <v>137</v>
      </c>
      <c r="H81" s="28"/>
      <c r="I81" s="14"/>
    </row>
    <row r="82" spans="1:9" ht="14.25">
      <c r="A82" s="14">
        <v>79</v>
      </c>
      <c r="B82" s="19" t="s">
        <v>106</v>
      </c>
      <c r="C82" s="22" t="s">
        <v>59</v>
      </c>
      <c r="D82" s="21">
        <f>18*1.5*1.05</f>
        <v>28.35</v>
      </c>
      <c r="E82" s="21">
        <v>18</v>
      </c>
      <c r="F82" s="21">
        <f t="shared" si="1"/>
        <v>510.3</v>
      </c>
      <c r="G82" s="21"/>
      <c r="H82" s="28"/>
      <c r="I82" s="14"/>
    </row>
    <row r="83" spans="1:9" ht="14.25">
      <c r="A83" s="14">
        <v>80</v>
      </c>
      <c r="B83" s="19" t="s">
        <v>106</v>
      </c>
      <c r="C83" s="22" t="s">
        <v>58</v>
      </c>
      <c r="D83" s="21">
        <f>18*1.5*1.2</f>
        <v>32.4</v>
      </c>
      <c r="E83" s="21">
        <v>18</v>
      </c>
      <c r="F83" s="21">
        <f t="shared" si="1"/>
        <v>583.1999999999999</v>
      </c>
      <c r="G83" s="21"/>
      <c r="H83" s="28"/>
      <c r="I83" s="14"/>
    </row>
    <row r="84" spans="1:9" ht="14.25">
      <c r="A84" s="14">
        <v>81</v>
      </c>
      <c r="B84" s="19" t="s">
        <v>145</v>
      </c>
      <c r="C84" s="22" t="s">
        <v>27</v>
      </c>
      <c r="D84" s="21"/>
      <c r="E84" s="21">
        <v>18</v>
      </c>
      <c r="F84" s="21">
        <f t="shared" si="1"/>
        <v>0</v>
      </c>
      <c r="G84" s="21"/>
      <c r="H84" s="28"/>
      <c r="I84" s="14" t="s">
        <v>172</v>
      </c>
    </row>
    <row r="85" spans="1:9" ht="14.25">
      <c r="A85" s="14">
        <v>82</v>
      </c>
      <c r="B85" s="19" t="s">
        <v>106</v>
      </c>
      <c r="C85" s="22" t="s">
        <v>107</v>
      </c>
      <c r="D85" s="21"/>
      <c r="E85" s="21">
        <v>18</v>
      </c>
      <c r="F85" s="21">
        <f t="shared" si="1"/>
        <v>0</v>
      </c>
      <c r="G85" s="21"/>
      <c r="H85" s="28"/>
      <c r="I85" s="14"/>
    </row>
    <row r="86" spans="1:9" ht="14.25">
      <c r="A86" s="14">
        <v>83</v>
      </c>
      <c r="B86" s="19" t="s">
        <v>106</v>
      </c>
      <c r="C86" s="22" t="s">
        <v>108</v>
      </c>
      <c r="D86" s="21"/>
      <c r="E86" s="21">
        <v>18</v>
      </c>
      <c r="F86" s="21">
        <f t="shared" si="1"/>
        <v>0</v>
      </c>
      <c r="G86" s="21"/>
      <c r="H86" s="28"/>
      <c r="I86" s="14"/>
    </row>
    <row r="87" spans="1:9" ht="14.25">
      <c r="A87" s="14">
        <v>84</v>
      </c>
      <c r="B87" s="19" t="s">
        <v>106</v>
      </c>
      <c r="C87" s="22" t="s">
        <v>109</v>
      </c>
      <c r="D87" s="21"/>
      <c r="E87" s="21">
        <v>18</v>
      </c>
      <c r="F87" s="21">
        <f t="shared" si="1"/>
        <v>0</v>
      </c>
      <c r="G87" s="21"/>
      <c r="H87" s="28"/>
      <c r="I87" s="14"/>
    </row>
    <row r="88" spans="1:9" ht="14.25">
      <c r="A88" s="14">
        <v>85</v>
      </c>
      <c r="B88" s="19" t="s">
        <v>106</v>
      </c>
      <c r="C88" s="22" t="s">
        <v>110</v>
      </c>
      <c r="D88" s="21"/>
      <c r="E88" s="21">
        <v>18</v>
      </c>
      <c r="F88" s="21">
        <f t="shared" si="1"/>
        <v>0</v>
      </c>
      <c r="G88" s="21"/>
      <c r="H88" s="28"/>
      <c r="I88" s="14"/>
    </row>
    <row r="89" spans="1:9" ht="14.25">
      <c r="A89" s="14">
        <v>86</v>
      </c>
      <c r="B89" s="19" t="s">
        <v>106</v>
      </c>
      <c r="C89" s="22" t="s">
        <v>111</v>
      </c>
      <c r="D89" s="21"/>
      <c r="E89" s="21">
        <v>18</v>
      </c>
      <c r="F89" s="21">
        <f t="shared" si="1"/>
        <v>0</v>
      </c>
      <c r="G89" s="21"/>
      <c r="H89" s="28"/>
      <c r="I89" s="14"/>
    </row>
    <row r="90" spans="1:9" ht="14.25">
      <c r="A90" s="14">
        <v>87</v>
      </c>
      <c r="B90" s="31" t="s">
        <v>164</v>
      </c>
      <c r="C90" s="22" t="s">
        <v>112</v>
      </c>
      <c r="D90" s="21"/>
      <c r="E90" s="21">
        <v>18</v>
      </c>
      <c r="F90" s="21">
        <f t="shared" si="1"/>
        <v>0</v>
      </c>
      <c r="G90" s="24" t="s">
        <v>135</v>
      </c>
      <c r="H90" s="28"/>
      <c r="I90" s="14"/>
    </row>
    <row r="91" spans="1:9" ht="14.25">
      <c r="A91" s="14">
        <v>88</v>
      </c>
      <c r="B91" s="19" t="s">
        <v>106</v>
      </c>
      <c r="C91" s="22" t="s">
        <v>113</v>
      </c>
      <c r="D91" s="21">
        <f>25*1.05</f>
        <v>26.25</v>
      </c>
      <c r="E91" s="21">
        <v>18</v>
      </c>
      <c r="F91" s="21">
        <f t="shared" si="1"/>
        <v>472.5</v>
      </c>
      <c r="G91" s="21"/>
      <c r="H91" s="28"/>
      <c r="I91" s="14"/>
    </row>
    <row r="92" spans="1:9" ht="14.25">
      <c r="A92" s="14">
        <v>89</v>
      </c>
      <c r="B92" s="19" t="s">
        <v>106</v>
      </c>
      <c r="C92" s="22" t="s">
        <v>114</v>
      </c>
      <c r="D92" s="21">
        <f>20*1.05</f>
        <v>21</v>
      </c>
      <c r="E92" s="21">
        <v>18</v>
      </c>
      <c r="F92" s="21">
        <f t="shared" si="1"/>
        <v>378</v>
      </c>
      <c r="G92" s="21"/>
      <c r="H92" s="28"/>
      <c r="I92" s="14"/>
    </row>
    <row r="93" spans="1:9" ht="14.25">
      <c r="A93" s="14">
        <v>90</v>
      </c>
      <c r="B93" s="19" t="s">
        <v>161</v>
      </c>
      <c r="C93" s="22" t="s">
        <v>116</v>
      </c>
      <c r="D93" s="21">
        <f>20*1.05</f>
        <v>21</v>
      </c>
      <c r="E93" s="21">
        <v>18</v>
      </c>
      <c r="F93" s="21">
        <f t="shared" si="1"/>
        <v>378</v>
      </c>
      <c r="G93" s="25" t="s">
        <v>136</v>
      </c>
      <c r="H93" s="28">
        <v>1.2</v>
      </c>
      <c r="I93" s="14"/>
    </row>
    <row r="94" spans="1:9" ht="14.25">
      <c r="A94" s="14">
        <v>91</v>
      </c>
      <c r="B94" s="19" t="s">
        <v>161</v>
      </c>
      <c r="C94" s="22" t="s">
        <v>117</v>
      </c>
      <c r="D94" s="21">
        <f>20*1.05</f>
        <v>21</v>
      </c>
      <c r="E94" s="21">
        <v>18</v>
      </c>
      <c r="F94" s="21">
        <f t="shared" si="1"/>
        <v>378</v>
      </c>
      <c r="G94" s="21"/>
      <c r="H94" s="28"/>
      <c r="I94" s="14"/>
    </row>
    <row r="95" spans="1:9" ht="14.25">
      <c r="A95" s="14">
        <v>92</v>
      </c>
      <c r="B95" s="19" t="s">
        <v>115</v>
      </c>
      <c r="C95" s="22" t="s">
        <v>118</v>
      </c>
      <c r="D95" s="21">
        <v>100</v>
      </c>
      <c r="E95" s="21">
        <v>18</v>
      </c>
      <c r="F95" s="21">
        <f t="shared" si="1"/>
        <v>1800</v>
      </c>
      <c r="G95" s="21"/>
      <c r="H95" s="28"/>
      <c r="I95" s="14"/>
    </row>
    <row r="96" spans="1:9" ht="14.25">
      <c r="A96" s="14">
        <v>93</v>
      </c>
      <c r="B96" s="19" t="s">
        <v>159</v>
      </c>
      <c r="C96" s="22" t="s">
        <v>119</v>
      </c>
      <c r="D96" s="21">
        <f>45*1.5*1.05</f>
        <v>70.875</v>
      </c>
      <c r="E96" s="21">
        <v>18</v>
      </c>
      <c r="F96" s="21">
        <f t="shared" si="1"/>
        <v>1275.75</v>
      </c>
      <c r="G96" s="21"/>
      <c r="H96" s="28"/>
      <c r="I96" s="14"/>
    </row>
    <row r="97" spans="1:9" ht="14.25">
      <c r="A97" s="14">
        <v>94</v>
      </c>
      <c r="B97" s="19" t="s">
        <v>162</v>
      </c>
      <c r="C97" s="22" t="s">
        <v>120</v>
      </c>
      <c r="D97" s="21"/>
      <c r="E97" s="21">
        <v>18</v>
      </c>
      <c r="F97" s="21">
        <f t="shared" si="1"/>
        <v>0</v>
      </c>
      <c r="G97" s="21"/>
      <c r="H97" s="28"/>
      <c r="I97" s="14"/>
    </row>
    <row r="98" spans="1:9" ht="14.25">
      <c r="A98" s="14">
        <v>95</v>
      </c>
      <c r="B98" s="19" t="s">
        <v>163</v>
      </c>
      <c r="C98" s="22" t="s">
        <v>121</v>
      </c>
      <c r="D98" s="21"/>
      <c r="E98" s="21">
        <v>18</v>
      </c>
      <c r="F98" s="21">
        <f t="shared" si="1"/>
        <v>0</v>
      </c>
      <c r="G98" s="21"/>
      <c r="H98" s="28"/>
      <c r="I98" s="14"/>
    </row>
    <row r="99" spans="1:9" ht="14.25">
      <c r="A99" s="14">
        <v>96</v>
      </c>
      <c r="B99" s="19" t="s">
        <v>162</v>
      </c>
      <c r="C99" s="22" t="s">
        <v>122</v>
      </c>
      <c r="D99" s="21"/>
      <c r="E99" s="21">
        <v>18</v>
      </c>
      <c r="F99" s="21">
        <f t="shared" si="1"/>
        <v>0</v>
      </c>
      <c r="G99" s="21"/>
      <c r="H99" s="28"/>
      <c r="I99" s="14"/>
    </row>
    <row r="100" spans="1:9" ht="14.25">
      <c r="A100" s="14">
        <v>97</v>
      </c>
      <c r="B100" s="19" t="s">
        <v>115</v>
      </c>
      <c r="C100" s="22" t="s">
        <v>123</v>
      </c>
      <c r="D100" s="21">
        <v>50</v>
      </c>
      <c r="E100" s="21">
        <v>18</v>
      </c>
      <c r="F100" s="21">
        <f t="shared" si="1"/>
        <v>900</v>
      </c>
      <c r="G100" s="21"/>
      <c r="H100" s="28"/>
      <c r="I100" s="14"/>
    </row>
    <row r="101" spans="1:9" ht="14.25">
      <c r="A101" s="14">
        <v>98</v>
      </c>
      <c r="B101" s="19" t="s">
        <v>160</v>
      </c>
      <c r="C101" s="22" t="s">
        <v>125</v>
      </c>
      <c r="D101" s="21"/>
      <c r="E101" s="21">
        <v>18</v>
      </c>
      <c r="F101" s="21">
        <f t="shared" si="1"/>
        <v>0</v>
      </c>
      <c r="G101" s="21"/>
      <c r="H101" s="28"/>
      <c r="I101" s="14"/>
    </row>
    <row r="102" spans="1:9" ht="14.25">
      <c r="A102" s="14">
        <v>99</v>
      </c>
      <c r="B102" s="19" t="s">
        <v>124</v>
      </c>
      <c r="C102" s="22" t="s">
        <v>126</v>
      </c>
      <c r="D102" s="21"/>
      <c r="E102" s="21">
        <v>18</v>
      </c>
      <c r="F102" s="21">
        <f t="shared" si="1"/>
        <v>0</v>
      </c>
      <c r="G102" s="21"/>
      <c r="H102" s="28"/>
      <c r="I102" s="14"/>
    </row>
    <row r="103" spans="1:9" ht="14.25">
      <c r="A103" s="14">
        <v>100</v>
      </c>
      <c r="B103" s="19" t="s">
        <v>169</v>
      </c>
      <c r="C103" s="33" t="s">
        <v>170</v>
      </c>
      <c r="D103" s="21"/>
      <c r="E103" s="21">
        <v>18</v>
      </c>
      <c r="F103" s="21">
        <f t="shared" si="1"/>
        <v>0</v>
      </c>
      <c r="G103" s="21"/>
      <c r="H103" s="28"/>
      <c r="I103" s="14"/>
    </row>
    <row r="104" spans="1:9" ht="14.25">
      <c r="A104" s="14">
        <v>101</v>
      </c>
      <c r="B104" s="13" t="s">
        <v>138</v>
      </c>
      <c r="C104" s="14" t="s">
        <v>139</v>
      </c>
      <c r="D104" s="14">
        <f>30*1.5*1.2</f>
        <v>54</v>
      </c>
      <c r="E104" s="21">
        <v>18</v>
      </c>
      <c r="F104" s="21">
        <f>D104*E104</f>
        <v>972</v>
      </c>
      <c r="G104" s="14"/>
      <c r="H104" s="28"/>
      <c r="I104" s="14"/>
    </row>
    <row r="105" spans="1:9" ht="14.25">
      <c r="A105" s="14">
        <v>102</v>
      </c>
      <c r="B105" s="13" t="s">
        <v>140</v>
      </c>
      <c r="C105" s="14" t="s">
        <v>141</v>
      </c>
      <c r="D105" s="14">
        <f>40*1.5*1.4</f>
        <v>84</v>
      </c>
      <c r="E105" s="21">
        <v>18</v>
      </c>
      <c r="F105" s="21">
        <f>D105*E105</f>
        <v>1512</v>
      </c>
      <c r="G105" s="14"/>
      <c r="H105" s="28"/>
      <c r="I105" s="14"/>
    </row>
    <row r="106" spans="1:9" ht="14.25">
      <c r="A106" s="14">
        <v>103</v>
      </c>
      <c r="B106" s="13" t="s">
        <v>140</v>
      </c>
      <c r="C106" s="14" t="s">
        <v>142</v>
      </c>
      <c r="D106" s="14">
        <f>(45*1.5+10)*1.2</f>
        <v>93</v>
      </c>
      <c r="E106" s="21">
        <v>18</v>
      </c>
      <c r="F106" s="21">
        <f>D106*E106</f>
        <v>1674</v>
      </c>
      <c r="G106" s="14"/>
      <c r="H106" s="28"/>
      <c r="I106" s="14"/>
    </row>
    <row r="107" spans="1:9" ht="14.25">
      <c r="A107" s="14">
        <v>104</v>
      </c>
      <c r="B107" s="13" t="s">
        <v>144</v>
      </c>
      <c r="C107" s="14" t="s">
        <v>143</v>
      </c>
      <c r="D107" s="14">
        <f>45*1.5*1.2</f>
        <v>81</v>
      </c>
      <c r="E107" s="21">
        <v>18</v>
      </c>
      <c r="F107" s="21">
        <f>D107*E107</f>
        <v>1458</v>
      </c>
      <c r="G107" s="14"/>
      <c r="H107" s="28"/>
      <c r="I107" s="14"/>
    </row>
    <row r="108" spans="1:9" ht="14.25">
      <c r="A108" s="116" t="s">
        <v>54</v>
      </c>
      <c r="B108" s="117"/>
      <c r="C108" s="117"/>
      <c r="D108" s="29">
        <f>SUM(D4:D107)</f>
        <v>8254.7265</v>
      </c>
      <c r="E108" s="21"/>
      <c r="F108" s="21">
        <f>SUM(F4:F107)</f>
        <v>148585.07700000002</v>
      </c>
      <c r="G108" s="21"/>
      <c r="H108" s="28"/>
      <c r="I108" s="14"/>
    </row>
    <row r="110" spans="1:9" ht="15">
      <c r="A110" s="115" t="s">
        <v>176</v>
      </c>
      <c r="B110" s="115"/>
      <c r="C110" s="115"/>
      <c r="D110" s="115"/>
      <c r="E110" s="115"/>
      <c r="F110" s="115"/>
      <c r="G110" s="115"/>
      <c r="H110" s="115"/>
      <c r="I110" s="115"/>
    </row>
  </sheetData>
  <mergeCells count="3">
    <mergeCell ref="A110:I110"/>
    <mergeCell ref="A108:C108"/>
    <mergeCell ref="A1:I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69"/>
  <sheetViews>
    <sheetView workbookViewId="0" topLeftCell="A127">
      <selection activeCell="H231" sqref="H231"/>
    </sheetView>
  </sheetViews>
  <sheetFormatPr defaultColWidth="9.00390625" defaultRowHeight="14.25"/>
  <cols>
    <col min="1" max="1" width="4.75390625" style="0" customWidth="1"/>
    <col min="2" max="2" width="9.125" style="0" customWidth="1"/>
    <col min="3" max="3" width="21.50390625" style="0" customWidth="1"/>
    <col min="4" max="4" width="13.375" style="0" customWidth="1"/>
    <col min="5" max="5" width="5.625" style="10" customWidth="1"/>
    <col min="6" max="6" width="5.75390625" style="10" customWidth="1"/>
    <col min="7" max="7" width="6.50390625" style="0" customWidth="1"/>
    <col min="8" max="8" width="5.75390625" style="0" customWidth="1"/>
    <col min="9" max="9" width="5.875" style="10" customWidth="1"/>
    <col min="10" max="10" width="6.00390625" style="10" customWidth="1"/>
    <col min="11" max="11" width="6.375" style="10" customWidth="1"/>
    <col min="12" max="12" width="8.625" style="10" customWidth="1"/>
    <col min="13" max="13" width="5.50390625" style="10" customWidth="1"/>
    <col min="14" max="14" width="9.125" style="10" customWidth="1"/>
    <col min="15" max="15" width="7.875" style="0" customWidth="1"/>
  </cols>
  <sheetData>
    <row r="1" ht="20.25">
      <c r="C1" s="1" t="s">
        <v>216</v>
      </c>
    </row>
    <row r="2" spans="4:6" ht="14.25" customHeight="1">
      <c r="D2" s="1"/>
      <c r="E2" s="11"/>
      <c r="F2" s="11"/>
    </row>
    <row r="3" spans="1:15" ht="26.25" customHeight="1">
      <c r="A3" s="4" t="s">
        <v>0</v>
      </c>
      <c r="B3" s="4" t="s">
        <v>5</v>
      </c>
      <c r="C3" s="4" t="s">
        <v>1</v>
      </c>
      <c r="D3" s="4" t="s">
        <v>2</v>
      </c>
      <c r="E3" s="5" t="s">
        <v>53</v>
      </c>
      <c r="F3" s="4" t="s">
        <v>149</v>
      </c>
      <c r="G3" s="4" t="s">
        <v>3</v>
      </c>
      <c r="H3" s="4" t="s">
        <v>4</v>
      </c>
      <c r="I3" s="4" t="s">
        <v>150</v>
      </c>
      <c r="J3" s="6" t="s">
        <v>151</v>
      </c>
      <c r="K3" s="7" t="s">
        <v>152</v>
      </c>
      <c r="L3" s="8" t="s">
        <v>51</v>
      </c>
      <c r="M3" s="8" t="s">
        <v>50</v>
      </c>
      <c r="N3" s="4" t="s">
        <v>61</v>
      </c>
      <c r="O3" s="4" t="s">
        <v>52</v>
      </c>
    </row>
    <row r="4" spans="1:15" s="36" customFormat="1" ht="12.75" customHeight="1">
      <c r="A4" s="37">
        <v>1</v>
      </c>
      <c r="B4" s="38" t="s">
        <v>94</v>
      </c>
      <c r="C4" s="38" t="s">
        <v>177</v>
      </c>
      <c r="D4" s="39" t="s">
        <v>178</v>
      </c>
      <c r="E4" s="42" t="s">
        <v>203</v>
      </c>
      <c r="F4" s="42">
        <v>78</v>
      </c>
      <c r="G4" s="42">
        <v>2</v>
      </c>
      <c r="H4" s="42">
        <v>7</v>
      </c>
      <c r="I4" s="42">
        <v>1.5</v>
      </c>
      <c r="J4" s="42">
        <v>1</v>
      </c>
      <c r="K4" s="42">
        <v>1</v>
      </c>
      <c r="L4" s="42">
        <f aca="true" t="shared" si="0" ref="L4:L32">G4*H4*I4*J4*K4</f>
        <v>21</v>
      </c>
      <c r="M4" s="42">
        <v>1.2</v>
      </c>
      <c r="N4" s="54">
        <f>L4*M4</f>
        <v>25.2</v>
      </c>
      <c r="O4" s="41" t="s">
        <v>208</v>
      </c>
    </row>
    <row r="5" spans="1:15" s="36" customFormat="1" ht="12.75" customHeight="1">
      <c r="A5" s="37">
        <v>2</v>
      </c>
      <c r="B5" s="38" t="s">
        <v>94</v>
      </c>
      <c r="C5" s="38" t="s">
        <v>179</v>
      </c>
      <c r="D5" s="39" t="s">
        <v>180</v>
      </c>
      <c r="E5" s="42" t="s">
        <v>203</v>
      </c>
      <c r="F5" s="42">
        <v>76</v>
      </c>
      <c r="G5" s="42">
        <v>2</v>
      </c>
      <c r="H5" s="42">
        <v>15</v>
      </c>
      <c r="I5" s="42">
        <v>1.5</v>
      </c>
      <c r="J5" s="42">
        <v>1</v>
      </c>
      <c r="K5" s="42">
        <v>1</v>
      </c>
      <c r="L5" s="42">
        <f t="shared" si="0"/>
        <v>45</v>
      </c>
      <c r="M5" s="42">
        <v>1.2</v>
      </c>
      <c r="N5" s="54">
        <f aca="true" t="shared" si="1" ref="N5:N32">L5*M5</f>
        <v>54</v>
      </c>
      <c r="O5" s="41"/>
    </row>
    <row r="6" spans="1:15" s="36" customFormat="1" ht="12.75" customHeight="1">
      <c r="A6" s="37">
        <v>3</v>
      </c>
      <c r="B6" s="38" t="s">
        <v>94</v>
      </c>
      <c r="C6" s="38" t="s">
        <v>181</v>
      </c>
      <c r="D6" s="39" t="s">
        <v>180</v>
      </c>
      <c r="E6" s="42" t="s">
        <v>203</v>
      </c>
      <c r="F6" s="42">
        <v>76</v>
      </c>
      <c r="G6" s="42">
        <v>2</v>
      </c>
      <c r="H6" s="42">
        <v>15</v>
      </c>
      <c r="I6" s="42">
        <v>1.5</v>
      </c>
      <c r="J6" s="42">
        <v>1</v>
      </c>
      <c r="K6" s="42">
        <v>1</v>
      </c>
      <c r="L6" s="42">
        <f t="shared" si="0"/>
        <v>45</v>
      </c>
      <c r="M6" s="42">
        <v>1.2</v>
      </c>
      <c r="N6" s="54">
        <f t="shared" si="1"/>
        <v>54</v>
      </c>
      <c r="O6" s="41"/>
    </row>
    <row r="7" spans="1:15" s="36" customFormat="1" ht="12.75" customHeight="1">
      <c r="A7" s="37">
        <v>4</v>
      </c>
      <c r="B7" s="38" t="s">
        <v>94</v>
      </c>
      <c r="C7" s="38" t="s">
        <v>182</v>
      </c>
      <c r="D7" s="38" t="s">
        <v>183</v>
      </c>
      <c r="E7" s="42" t="s">
        <v>203</v>
      </c>
      <c r="F7" s="42">
        <v>53</v>
      </c>
      <c r="G7" s="42">
        <v>2</v>
      </c>
      <c r="H7" s="42">
        <v>8</v>
      </c>
      <c r="I7" s="42">
        <v>1.08</v>
      </c>
      <c r="J7" s="42">
        <v>1</v>
      </c>
      <c r="K7" s="42">
        <v>1</v>
      </c>
      <c r="L7" s="42">
        <f t="shared" si="0"/>
        <v>17.28</v>
      </c>
      <c r="M7" s="42">
        <v>1.2</v>
      </c>
      <c r="N7" s="54">
        <f t="shared" si="1"/>
        <v>20.736</v>
      </c>
      <c r="O7" s="41"/>
    </row>
    <row r="8" spans="1:15" s="36" customFormat="1" ht="12.75" customHeight="1">
      <c r="A8" s="37">
        <v>5</v>
      </c>
      <c r="B8" s="38" t="s">
        <v>20</v>
      </c>
      <c r="C8" s="38" t="s">
        <v>177</v>
      </c>
      <c r="D8" s="39" t="s">
        <v>180</v>
      </c>
      <c r="E8" s="42" t="s">
        <v>203</v>
      </c>
      <c r="F8" s="42">
        <v>76</v>
      </c>
      <c r="G8" s="42">
        <v>2</v>
      </c>
      <c r="H8" s="42">
        <v>7</v>
      </c>
      <c r="I8" s="42">
        <v>1.5</v>
      </c>
      <c r="J8" s="42">
        <v>1</v>
      </c>
      <c r="K8" s="42">
        <v>1</v>
      </c>
      <c r="L8" s="42">
        <f t="shared" si="0"/>
        <v>21</v>
      </c>
      <c r="M8" s="42">
        <v>1.2</v>
      </c>
      <c r="N8" s="54">
        <f t="shared" si="1"/>
        <v>25.2</v>
      </c>
      <c r="O8" s="41" t="s">
        <v>204</v>
      </c>
    </row>
    <row r="9" spans="1:15" s="36" customFormat="1" ht="12.75" customHeight="1">
      <c r="A9" s="37">
        <v>6</v>
      </c>
      <c r="B9" s="38" t="s">
        <v>20</v>
      </c>
      <c r="C9" s="38" t="s">
        <v>179</v>
      </c>
      <c r="D9" s="39" t="s">
        <v>178</v>
      </c>
      <c r="E9" s="42" t="s">
        <v>203</v>
      </c>
      <c r="F9" s="42">
        <v>78</v>
      </c>
      <c r="G9" s="42">
        <v>2</v>
      </c>
      <c r="H9" s="42">
        <v>15</v>
      </c>
      <c r="I9" s="42">
        <v>1.5</v>
      </c>
      <c r="J9" s="42">
        <v>1</v>
      </c>
      <c r="K9" s="42">
        <v>1</v>
      </c>
      <c r="L9" s="42">
        <f t="shared" si="0"/>
        <v>45</v>
      </c>
      <c r="M9" s="42">
        <v>1.2</v>
      </c>
      <c r="N9" s="54">
        <f t="shared" si="1"/>
        <v>54</v>
      </c>
      <c r="O9" s="41"/>
    </row>
    <row r="10" spans="1:15" s="36" customFormat="1" ht="12.75" customHeight="1">
      <c r="A10" s="121">
        <v>7</v>
      </c>
      <c r="B10" s="38" t="s">
        <v>20</v>
      </c>
      <c r="C10" s="123" t="s">
        <v>319</v>
      </c>
      <c r="D10" s="123" t="s">
        <v>316</v>
      </c>
      <c r="E10" s="42" t="s">
        <v>203</v>
      </c>
      <c r="F10" s="42">
        <v>97</v>
      </c>
      <c r="G10" s="42">
        <v>2</v>
      </c>
      <c r="H10" s="42">
        <v>1</v>
      </c>
      <c r="I10" s="42">
        <v>1.57</v>
      </c>
      <c r="J10" s="42">
        <v>0.6</v>
      </c>
      <c r="K10" s="42">
        <v>1</v>
      </c>
      <c r="L10" s="56">
        <f t="shared" si="0"/>
        <v>1.884</v>
      </c>
      <c r="M10" s="42">
        <v>1.2</v>
      </c>
      <c r="N10" s="54">
        <f t="shared" si="1"/>
        <v>2.2607999999999997</v>
      </c>
      <c r="O10" s="16" t="s">
        <v>318</v>
      </c>
    </row>
    <row r="11" spans="1:15" s="36" customFormat="1" ht="12.75" customHeight="1">
      <c r="A11" s="122"/>
      <c r="B11" s="38" t="s">
        <v>317</v>
      </c>
      <c r="C11" s="124"/>
      <c r="D11" s="124"/>
      <c r="E11" s="42" t="s">
        <v>203</v>
      </c>
      <c r="F11" s="42">
        <v>97</v>
      </c>
      <c r="G11" s="42">
        <v>2</v>
      </c>
      <c r="H11" s="42">
        <v>1</v>
      </c>
      <c r="I11" s="42">
        <v>1.57</v>
      </c>
      <c r="J11" s="42">
        <v>0.6</v>
      </c>
      <c r="K11" s="42">
        <v>1</v>
      </c>
      <c r="L11" s="56">
        <f t="shared" si="0"/>
        <v>1.884</v>
      </c>
      <c r="M11" s="42">
        <v>1.4</v>
      </c>
      <c r="N11" s="54">
        <f t="shared" si="1"/>
        <v>2.6375999999999995</v>
      </c>
      <c r="O11" s="16" t="s">
        <v>318</v>
      </c>
    </row>
    <row r="12" spans="1:15" s="36" customFormat="1" ht="12.75" customHeight="1">
      <c r="A12" s="37">
        <v>8</v>
      </c>
      <c r="B12" s="38" t="s">
        <v>22</v>
      </c>
      <c r="C12" s="38" t="s">
        <v>187</v>
      </c>
      <c r="D12" s="39" t="s">
        <v>178</v>
      </c>
      <c r="E12" s="42" t="s">
        <v>203</v>
      </c>
      <c r="F12" s="42">
        <v>78</v>
      </c>
      <c r="G12" s="42">
        <v>3</v>
      </c>
      <c r="H12" s="42">
        <v>15</v>
      </c>
      <c r="I12" s="42">
        <v>1.5</v>
      </c>
      <c r="J12" s="42">
        <v>1</v>
      </c>
      <c r="K12" s="42">
        <v>1</v>
      </c>
      <c r="L12" s="42">
        <f t="shared" si="0"/>
        <v>67.5</v>
      </c>
      <c r="M12" s="42">
        <v>1.4</v>
      </c>
      <c r="N12" s="54">
        <f>L12*M12</f>
        <v>94.5</v>
      </c>
      <c r="O12" s="40"/>
    </row>
    <row r="13" spans="1:15" s="36" customFormat="1" ht="12.75" customHeight="1">
      <c r="A13" s="37">
        <v>9</v>
      </c>
      <c r="B13" s="38" t="s">
        <v>22</v>
      </c>
      <c r="C13" s="38" t="s">
        <v>181</v>
      </c>
      <c r="D13" s="39" t="s">
        <v>178</v>
      </c>
      <c r="E13" s="42" t="s">
        <v>203</v>
      </c>
      <c r="F13" s="42">
        <v>78</v>
      </c>
      <c r="G13" s="42">
        <v>2</v>
      </c>
      <c r="H13" s="42">
        <v>15</v>
      </c>
      <c r="I13" s="42">
        <v>1.5</v>
      </c>
      <c r="J13" s="42">
        <v>1</v>
      </c>
      <c r="K13" s="42">
        <v>1</v>
      </c>
      <c r="L13" s="42">
        <f t="shared" si="0"/>
        <v>45</v>
      </c>
      <c r="M13" s="42">
        <v>1.4</v>
      </c>
      <c r="N13" s="54">
        <f>L13*M13</f>
        <v>62.99999999999999</v>
      </c>
      <c r="O13" s="40"/>
    </row>
    <row r="14" spans="1:15" s="36" customFormat="1" ht="12.75" customHeight="1">
      <c r="A14" s="37">
        <v>10</v>
      </c>
      <c r="B14" s="38" t="s">
        <v>22</v>
      </c>
      <c r="C14" s="38" t="s">
        <v>188</v>
      </c>
      <c r="D14" s="38" t="s">
        <v>189</v>
      </c>
      <c r="E14" s="42" t="s">
        <v>203</v>
      </c>
      <c r="F14" s="42">
        <v>97</v>
      </c>
      <c r="G14" s="42">
        <v>2</v>
      </c>
      <c r="H14" s="42">
        <v>16</v>
      </c>
      <c r="I14" s="42">
        <v>1.57</v>
      </c>
      <c r="J14" s="42">
        <v>1</v>
      </c>
      <c r="K14" s="42">
        <v>1</v>
      </c>
      <c r="L14" s="42">
        <f t="shared" si="0"/>
        <v>50.24</v>
      </c>
      <c r="M14" s="42">
        <v>1.4</v>
      </c>
      <c r="N14" s="54">
        <f>L14*M14</f>
        <v>70.336</v>
      </c>
      <c r="O14" s="16" t="s">
        <v>214</v>
      </c>
    </row>
    <row r="15" spans="1:15" s="36" customFormat="1" ht="12.75" customHeight="1">
      <c r="A15" s="37">
        <v>11</v>
      </c>
      <c r="B15" s="38" t="s">
        <v>22</v>
      </c>
      <c r="C15" s="38" t="s">
        <v>190</v>
      </c>
      <c r="D15" s="38" t="s">
        <v>183</v>
      </c>
      <c r="E15" s="42" t="s">
        <v>203</v>
      </c>
      <c r="F15" s="42">
        <v>53</v>
      </c>
      <c r="G15" s="42">
        <v>2</v>
      </c>
      <c r="H15" s="42">
        <v>15</v>
      </c>
      <c r="I15" s="42">
        <v>1.08</v>
      </c>
      <c r="J15" s="42">
        <v>1</v>
      </c>
      <c r="K15" s="42">
        <v>1</v>
      </c>
      <c r="L15" s="42">
        <f t="shared" si="0"/>
        <v>32.400000000000006</v>
      </c>
      <c r="M15" s="42">
        <v>1.4</v>
      </c>
      <c r="N15" s="54">
        <f>L15*M15</f>
        <v>45.36000000000001</v>
      </c>
      <c r="O15" s="16" t="s">
        <v>215</v>
      </c>
    </row>
    <row r="16" spans="1:15" s="36" customFormat="1" ht="12.75" customHeight="1">
      <c r="A16" s="37">
        <v>12</v>
      </c>
      <c r="B16" s="38" t="s">
        <v>185</v>
      </c>
      <c r="C16" s="38" t="s">
        <v>184</v>
      </c>
      <c r="D16" s="39" t="s">
        <v>178</v>
      </c>
      <c r="E16" s="42" t="s">
        <v>203</v>
      </c>
      <c r="F16" s="42">
        <v>78</v>
      </c>
      <c r="G16" s="42">
        <v>3</v>
      </c>
      <c r="H16" s="42">
        <v>15</v>
      </c>
      <c r="I16" s="42">
        <v>1.5</v>
      </c>
      <c r="J16" s="42">
        <v>1</v>
      </c>
      <c r="K16" s="42">
        <v>1</v>
      </c>
      <c r="L16" s="42">
        <f t="shared" si="0"/>
        <v>67.5</v>
      </c>
      <c r="M16" s="42">
        <v>1.2</v>
      </c>
      <c r="N16" s="54">
        <f t="shared" si="1"/>
        <v>81</v>
      </c>
      <c r="O16" s="41" t="s">
        <v>204</v>
      </c>
    </row>
    <row r="17" spans="1:15" s="36" customFormat="1" ht="12.75" customHeight="1">
      <c r="A17" s="37">
        <v>13</v>
      </c>
      <c r="B17" s="38" t="s">
        <v>19</v>
      </c>
      <c r="C17" s="38" t="s">
        <v>184</v>
      </c>
      <c r="D17" s="39" t="s">
        <v>180</v>
      </c>
      <c r="E17" s="42" t="s">
        <v>203</v>
      </c>
      <c r="F17" s="42">
        <v>76</v>
      </c>
      <c r="G17" s="42">
        <v>3</v>
      </c>
      <c r="H17" s="42">
        <v>15</v>
      </c>
      <c r="I17" s="42">
        <v>1.5</v>
      </c>
      <c r="J17" s="42">
        <v>1</v>
      </c>
      <c r="K17" s="42">
        <v>1</v>
      </c>
      <c r="L17" s="42">
        <f t="shared" si="0"/>
        <v>67.5</v>
      </c>
      <c r="M17" s="42">
        <v>1.2</v>
      </c>
      <c r="N17" s="54">
        <f t="shared" si="1"/>
        <v>81</v>
      </c>
      <c r="O17" s="41" t="s">
        <v>204</v>
      </c>
    </row>
    <row r="18" spans="1:15" s="36" customFormat="1" ht="12.75" customHeight="1">
      <c r="A18" s="37">
        <v>14</v>
      </c>
      <c r="B18" s="38" t="s">
        <v>19</v>
      </c>
      <c r="C18" s="38" t="s">
        <v>186</v>
      </c>
      <c r="D18" s="38" t="s">
        <v>180</v>
      </c>
      <c r="E18" s="42" t="s">
        <v>203</v>
      </c>
      <c r="F18" s="42">
        <v>76</v>
      </c>
      <c r="G18" s="42">
        <v>2</v>
      </c>
      <c r="H18" s="42">
        <v>15</v>
      </c>
      <c r="I18" s="42">
        <v>1.5</v>
      </c>
      <c r="J18" s="42">
        <v>1</v>
      </c>
      <c r="K18" s="42">
        <v>1</v>
      </c>
      <c r="L18" s="42">
        <f t="shared" si="0"/>
        <v>45</v>
      </c>
      <c r="M18" s="42">
        <v>1.2</v>
      </c>
      <c r="N18" s="54">
        <f t="shared" si="1"/>
        <v>54</v>
      </c>
      <c r="O18" s="40"/>
    </row>
    <row r="19" spans="1:15" s="36" customFormat="1" ht="12.75" customHeight="1">
      <c r="A19" s="37">
        <v>15</v>
      </c>
      <c r="B19" s="38" t="s">
        <v>191</v>
      </c>
      <c r="C19" s="38" t="s">
        <v>187</v>
      </c>
      <c r="D19" s="39" t="s">
        <v>180</v>
      </c>
      <c r="E19" s="42" t="s">
        <v>203</v>
      </c>
      <c r="F19" s="42">
        <v>76</v>
      </c>
      <c r="G19" s="42">
        <v>3</v>
      </c>
      <c r="H19" s="42">
        <v>15</v>
      </c>
      <c r="I19" s="42">
        <v>1.5</v>
      </c>
      <c r="J19" s="42">
        <v>1</v>
      </c>
      <c r="K19" s="42">
        <v>1</v>
      </c>
      <c r="L19" s="42">
        <f t="shared" si="0"/>
        <v>67.5</v>
      </c>
      <c r="M19" s="42">
        <v>1.2</v>
      </c>
      <c r="N19" s="54">
        <f t="shared" si="1"/>
        <v>81</v>
      </c>
      <c r="O19" s="40"/>
    </row>
    <row r="20" spans="1:15" s="36" customFormat="1" ht="12.75" customHeight="1">
      <c r="A20" s="37">
        <v>16</v>
      </c>
      <c r="B20" s="38" t="s">
        <v>193</v>
      </c>
      <c r="C20" s="38" t="s">
        <v>192</v>
      </c>
      <c r="D20" s="38" t="s">
        <v>178</v>
      </c>
      <c r="E20" s="42" t="s">
        <v>203</v>
      </c>
      <c r="F20" s="42">
        <v>78</v>
      </c>
      <c r="G20" s="42">
        <v>2</v>
      </c>
      <c r="H20" s="42">
        <v>15</v>
      </c>
      <c r="I20" s="42">
        <v>1.5</v>
      </c>
      <c r="J20" s="42">
        <v>1</v>
      </c>
      <c r="K20" s="42">
        <v>1</v>
      </c>
      <c r="L20" s="42">
        <f t="shared" si="0"/>
        <v>45</v>
      </c>
      <c r="M20" s="42">
        <v>1.2</v>
      </c>
      <c r="N20" s="54">
        <f t="shared" si="1"/>
        <v>54</v>
      </c>
      <c r="O20" s="40"/>
    </row>
    <row r="21" spans="1:15" s="36" customFormat="1" ht="12.75" customHeight="1">
      <c r="A21" s="37">
        <v>17</v>
      </c>
      <c r="B21" s="38" t="s">
        <v>18</v>
      </c>
      <c r="C21" s="38" t="s">
        <v>192</v>
      </c>
      <c r="D21" s="38" t="s">
        <v>180</v>
      </c>
      <c r="E21" s="42" t="s">
        <v>203</v>
      </c>
      <c r="F21" s="42">
        <v>76</v>
      </c>
      <c r="G21" s="42">
        <v>2</v>
      </c>
      <c r="H21" s="42">
        <v>15</v>
      </c>
      <c r="I21" s="42">
        <v>1.5</v>
      </c>
      <c r="J21" s="42">
        <v>1</v>
      </c>
      <c r="K21" s="42">
        <v>1</v>
      </c>
      <c r="L21" s="42">
        <f t="shared" si="0"/>
        <v>45</v>
      </c>
      <c r="M21" s="42">
        <v>1.2</v>
      </c>
      <c r="N21" s="54">
        <f t="shared" si="1"/>
        <v>54</v>
      </c>
      <c r="O21" s="40"/>
    </row>
    <row r="22" spans="1:15" s="36" customFormat="1" ht="12.75" customHeight="1">
      <c r="A22" s="37">
        <v>18</v>
      </c>
      <c r="B22" s="38" t="s">
        <v>18</v>
      </c>
      <c r="C22" s="38" t="s">
        <v>211</v>
      </c>
      <c r="D22" s="38" t="s">
        <v>205</v>
      </c>
      <c r="E22" s="42" t="s">
        <v>203</v>
      </c>
      <c r="F22" s="42">
        <v>136</v>
      </c>
      <c r="G22" s="42">
        <v>2</v>
      </c>
      <c r="H22" s="42">
        <v>15</v>
      </c>
      <c r="I22" s="42">
        <v>1.91</v>
      </c>
      <c r="J22" s="42">
        <v>1</v>
      </c>
      <c r="K22" s="42">
        <v>1</v>
      </c>
      <c r="L22" s="42">
        <f t="shared" si="0"/>
        <v>57.3</v>
      </c>
      <c r="M22" s="42">
        <v>1.2</v>
      </c>
      <c r="N22" s="54">
        <f t="shared" si="1"/>
        <v>68.75999999999999</v>
      </c>
      <c r="O22" s="16" t="s">
        <v>215</v>
      </c>
    </row>
    <row r="23" spans="1:15" s="36" customFormat="1" ht="12.75" customHeight="1">
      <c r="A23" s="37">
        <v>19</v>
      </c>
      <c r="B23" s="38" t="s">
        <v>17</v>
      </c>
      <c r="C23" s="38" t="s">
        <v>186</v>
      </c>
      <c r="D23" s="38" t="s">
        <v>178</v>
      </c>
      <c r="E23" s="42" t="s">
        <v>203</v>
      </c>
      <c r="F23" s="42">
        <v>78</v>
      </c>
      <c r="G23" s="42">
        <v>2</v>
      </c>
      <c r="H23" s="42">
        <v>15</v>
      </c>
      <c r="I23" s="42">
        <v>1.5</v>
      </c>
      <c r="J23" s="42">
        <v>1</v>
      </c>
      <c r="K23" s="42">
        <v>1</v>
      </c>
      <c r="L23" s="42">
        <f t="shared" si="0"/>
        <v>45</v>
      </c>
      <c r="M23" s="42">
        <v>1.2</v>
      </c>
      <c r="N23" s="54">
        <f t="shared" si="1"/>
        <v>54</v>
      </c>
      <c r="O23" s="40"/>
    </row>
    <row r="24" spans="1:15" s="36" customFormat="1" ht="12.75" customHeight="1">
      <c r="A24" s="37">
        <v>20</v>
      </c>
      <c r="B24" s="38" t="s">
        <v>17</v>
      </c>
      <c r="C24" s="35" t="s">
        <v>212</v>
      </c>
      <c r="D24" s="38" t="s">
        <v>206</v>
      </c>
      <c r="E24" s="42" t="s">
        <v>203</v>
      </c>
      <c r="F24" s="42">
        <v>101</v>
      </c>
      <c r="G24" s="42">
        <v>2</v>
      </c>
      <c r="H24" s="42">
        <v>15</v>
      </c>
      <c r="I24" s="42">
        <v>1.56</v>
      </c>
      <c r="J24" s="42">
        <v>1</v>
      </c>
      <c r="K24" s="42">
        <v>1</v>
      </c>
      <c r="L24" s="42">
        <f t="shared" si="0"/>
        <v>46.800000000000004</v>
      </c>
      <c r="M24" s="42">
        <v>1.2</v>
      </c>
      <c r="N24" s="54">
        <f t="shared" si="1"/>
        <v>56.160000000000004</v>
      </c>
      <c r="O24" s="16" t="s">
        <v>215</v>
      </c>
    </row>
    <row r="25" spans="1:15" s="36" customFormat="1" ht="12.75" customHeight="1">
      <c r="A25" s="37">
        <v>21</v>
      </c>
      <c r="B25" s="38" t="s">
        <v>17</v>
      </c>
      <c r="C25" s="38" t="s">
        <v>194</v>
      </c>
      <c r="D25" s="38" t="s">
        <v>183</v>
      </c>
      <c r="E25" s="42" t="s">
        <v>203</v>
      </c>
      <c r="F25" s="42">
        <v>53</v>
      </c>
      <c r="G25" s="42">
        <v>2</v>
      </c>
      <c r="H25" s="42">
        <v>15</v>
      </c>
      <c r="I25" s="42">
        <v>1.08</v>
      </c>
      <c r="J25" s="42">
        <v>1</v>
      </c>
      <c r="K25" s="42">
        <v>1</v>
      </c>
      <c r="L25" s="42">
        <f t="shared" si="0"/>
        <v>32.400000000000006</v>
      </c>
      <c r="M25" s="42">
        <v>1.2</v>
      </c>
      <c r="N25" s="54">
        <f t="shared" si="1"/>
        <v>38.88</v>
      </c>
      <c r="O25" s="16" t="s">
        <v>215</v>
      </c>
    </row>
    <row r="26" spans="1:15" s="36" customFormat="1" ht="12.75" customHeight="1">
      <c r="A26" s="37">
        <v>22</v>
      </c>
      <c r="B26" s="38" t="s">
        <v>6</v>
      </c>
      <c r="C26" s="34" t="s">
        <v>213</v>
      </c>
      <c r="D26" s="38" t="s">
        <v>195</v>
      </c>
      <c r="E26" s="42" t="s">
        <v>203</v>
      </c>
      <c r="F26" s="42">
        <v>71</v>
      </c>
      <c r="G26" s="42">
        <v>2</v>
      </c>
      <c r="H26" s="42">
        <v>15</v>
      </c>
      <c r="I26" s="42">
        <v>1.26</v>
      </c>
      <c r="J26" s="42">
        <v>1</v>
      </c>
      <c r="K26" s="42">
        <v>1</v>
      </c>
      <c r="L26" s="42">
        <f t="shared" si="0"/>
        <v>37.8</v>
      </c>
      <c r="M26" s="42">
        <v>1.2</v>
      </c>
      <c r="N26" s="54">
        <f t="shared" si="1"/>
        <v>45.35999999999999</v>
      </c>
      <c r="O26" s="16" t="s">
        <v>215</v>
      </c>
    </row>
    <row r="27" spans="1:15" s="36" customFormat="1" ht="12.75" customHeight="1">
      <c r="A27" s="37">
        <v>23</v>
      </c>
      <c r="B27" s="38" t="s">
        <v>15</v>
      </c>
      <c r="C27" s="38" t="s">
        <v>196</v>
      </c>
      <c r="D27" s="38" t="s">
        <v>197</v>
      </c>
      <c r="E27" s="42" t="s">
        <v>203</v>
      </c>
      <c r="F27" s="42">
        <v>108</v>
      </c>
      <c r="G27" s="42">
        <v>4</v>
      </c>
      <c r="H27" s="42">
        <v>8</v>
      </c>
      <c r="I27" s="42">
        <v>1.7</v>
      </c>
      <c r="J27" s="42">
        <v>1</v>
      </c>
      <c r="K27" s="42">
        <v>1</v>
      </c>
      <c r="L27" s="42">
        <f t="shared" si="0"/>
        <v>54.4</v>
      </c>
      <c r="M27" s="42">
        <v>1.05</v>
      </c>
      <c r="N27" s="54">
        <f t="shared" si="1"/>
        <v>57.12</v>
      </c>
      <c r="O27" s="40"/>
    </row>
    <row r="28" spans="1:15" s="36" customFormat="1" ht="12.75" customHeight="1">
      <c r="A28" s="37">
        <v>24</v>
      </c>
      <c r="B28" s="38" t="s">
        <v>15</v>
      </c>
      <c r="C28" s="38" t="s">
        <v>198</v>
      </c>
      <c r="D28" s="38" t="s">
        <v>183</v>
      </c>
      <c r="E28" s="42" t="s">
        <v>203</v>
      </c>
      <c r="F28" s="42">
        <v>53</v>
      </c>
      <c r="G28" s="42">
        <v>2</v>
      </c>
      <c r="H28" s="42">
        <v>15</v>
      </c>
      <c r="I28" s="42">
        <v>1.08</v>
      </c>
      <c r="J28" s="42">
        <v>1</v>
      </c>
      <c r="K28" s="42">
        <v>1</v>
      </c>
      <c r="L28" s="42">
        <f t="shared" si="0"/>
        <v>32.400000000000006</v>
      </c>
      <c r="M28" s="42">
        <v>1.05</v>
      </c>
      <c r="N28" s="54">
        <f t="shared" si="1"/>
        <v>34.02000000000001</v>
      </c>
      <c r="O28" s="16" t="s">
        <v>215</v>
      </c>
    </row>
    <row r="29" spans="1:15" s="36" customFormat="1" ht="12.75" customHeight="1">
      <c r="A29" s="37">
        <v>25</v>
      </c>
      <c r="B29" s="38" t="s">
        <v>15</v>
      </c>
      <c r="C29" s="38" t="s">
        <v>199</v>
      </c>
      <c r="D29" s="38" t="s">
        <v>183</v>
      </c>
      <c r="E29" s="42" t="s">
        <v>203</v>
      </c>
      <c r="F29" s="42">
        <v>53</v>
      </c>
      <c r="G29" s="42">
        <v>2</v>
      </c>
      <c r="H29" s="42">
        <v>15</v>
      </c>
      <c r="I29" s="42">
        <v>1.08</v>
      </c>
      <c r="J29" s="42">
        <v>1</v>
      </c>
      <c r="K29" s="42">
        <v>1</v>
      </c>
      <c r="L29" s="42">
        <f t="shared" si="0"/>
        <v>32.400000000000006</v>
      </c>
      <c r="M29" s="42">
        <v>1.05</v>
      </c>
      <c r="N29" s="54">
        <f t="shared" si="1"/>
        <v>34.02000000000001</v>
      </c>
      <c r="O29" s="16" t="s">
        <v>215</v>
      </c>
    </row>
    <row r="30" spans="1:15" s="36" customFormat="1" ht="12.75" customHeight="1">
      <c r="A30" s="37">
        <v>26</v>
      </c>
      <c r="B30" s="38" t="s">
        <v>21</v>
      </c>
      <c r="C30" s="38" t="s">
        <v>200</v>
      </c>
      <c r="D30" s="38" t="s">
        <v>183</v>
      </c>
      <c r="E30" s="42" t="s">
        <v>203</v>
      </c>
      <c r="F30" s="42">
        <v>53</v>
      </c>
      <c r="G30" s="42">
        <v>2</v>
      </c>
      <c r="H30" s="42">
        <v>15</v>
      </c>
      <c r="I30" s="42">
        <v>1.08</v>
      </c>
      <c r="J30" s="42">
        <v>1</v>
      </c>
      <c r="K30" s="42">
        <v>1</v>
      </c>
      <c r="L30" s="42">
        <f t="shared" si="0"/>
        <v>32.400000000000006</v>
      </c>
      <c r="M30" s="42">
        <v>1.2</v>
      </c>
      <c r="N30" s="54">
        <f t="shared" si="1"/>
        <v>38.88</v>
      </c>
      <c r="O30" s="16" t="s">
        <v>215</v>
      </c>
    </row>
    <row r="31" spans="1:15" s="36" customFormat="1" ht="12.75" customHeight="1">
      <c r="A31" s="37">
        <v>27</v>
      </c>
      <c r="B31" s="38" t="s">
        <v>21</v>
      </c>
      <c r="C31" s="38" t="s">
        <v>201</v>
      </c>
      <c r="D31" s="38" t="s">
        <v>183</v>
      </c>
      <c r="E31" s="42" t="s">
        <v>203</v>
      </c>
      <c r="F31" s="42">
        <v>53</v>
      </c>
      <c r="G31" s="42">
        <v>3</v>
      </c>
      <c r="H31" s="42">
        <v>15</v>
      </c>
      <c r="I31" s="42">
        <v>1.08</v>
      </c>
      <c r="J31" s="42">
        <v>1</v>
      </c>
      <c r="K31" s="42">
        <v>1</v>
      </c>
      <c r="L31" s="42">
        <f t="shared" si="0"/>
        <v>48.6</v>
      </c>
      <c r="M31" s="42">
        <v>1.2</v>
      </c>
      <c r="N31" s="54">
        <f t="shared" si="1"/>
        <v>58.32</v>
      </c>
      <c r="O31" s="16" t="s">
        <v>215</v>
      </c>
    </row>
    <row r="32" spans="1:15" s="36" customFormat="1" ht="12.75" customHeight="1">
      <c r="A32" s="37">
        <v>28</v>
      </c>
      <c r="B32" s="38" t="s">
        <v>16</v>
      </c>
      <c r="C32" s="38" t="s">
        <v>202</v>
      </c>
      <c r="D32" s="38" t="s">
        <v>183</v>
      </c>
      <c r="E32" s="42" t="s">
        <v>203</v>
      </c>
      <c r="F32" s="42">
        <v>53</v>
      </c>
      <c r="G32" s="42">
        <v>2</v>
      </c>
      <c r="H32" s="42">
        <v>15</v>
      </c>
      <c r="I32" s="42">
        <v>1.08</v>
      </c>
      <c r="J32" s="42">
        <v>1</v>
      </c>
      <c r="K32" s="42">
        <v>1</v>
      </c>
      <c r="L32" s="42">
        <f t="shared" si="0"/>
        <v>32.400000000000006</v>
      </c>
      <c r="M32" s="42">
        <v>1.05</v>
      </c>
      <c r="N32" s="54">
        <f t="shared" si="1"/>
        <v>34.02000000000001</v>
      </c>
      <c r="O32" s="16" t="s">
        <v>215</v>
      </c>
    </row>
    <row r="33" spans="1:15" ht="12.75" customHeight="1">
      <c r="A33" s="125" t="s">
        <v>207</v>
      </c>
      <c r="B33" s="125"/>
      <c r="C33" s="125"/>
      <c r="D33" s="13"/>
      <c r="E33" s="14"/>
      <c r="F33" s="14"/>
      <c r="G33" s="13"/>
      <c r="H33" s="13"/>
      <c r="I33" s="14"/>
      <c r="J33" s="14"/>
      <c r="K33" s="14"/>
      <c r="L33" s="53">
        <f>SUM(L4:L32)</f>
        <v>1182.588</v>
      </c>
      <c r="M33" s="12"/>
      <c r="N33" s="55">
        <f>SUM(N4:N32)</f>
        <v>1435.7703999999999</v>
      </c>
      <c r="O33" s="13"/>
    </row>
    <row r="34" ht="12.75" customHeight="1"/>
    <row r="35" spans="1:12" ht="12.75" customHeight="1">
      <c r="A35" s="9" t="s">
        <v>209</v>
      </c>
      <c r="B35" s="9"/>
      <c r="C35" s="9"/>
      <c r="D35" s="43"/>
      <c r="E35" s="3" t="s">
        <v>14</v>
      </c>
      <c r="F35" s="3"/>
      <c r="I35"/>
      <c r="L35" s="3" t="s">
        <v>210</v>
      </c>
    </row>
    <row r="36" ht="20.25">
      <c r="C36" s="1" t="s">
        <v>153</v>
      </c>
    </row>
    <row r="37" spans="4:6" ht="14.25" customHeight="1">
      <c r="D37" s="1"/>
      <c r="E37" s="11"/>
      <c r="F37" s="11"/>
    </row>
    <row r="38" spans="1:15" ht="26.25" customHeight="1">
      <c r="A38" s="4" t="s">
        <v>0</v>
      </c>
      <c r="B38" s="4" t="s">
        <v>5</v>
      </c>
      <c r="C38" s="4" t="s">
        <v>1</v>
      </c>
      <c r="D38" s="4" t="s">
        <v>2</v>
      </c>
      <c r="E38" s="5" t="s">
        <v>53</v>
      </c>
      <c r="F38" s="4" t="s">
        <v>149</v>
      </c>
      <c r="G38" s="4" t="s">
        <v>3</v>
      </c>
      <c r="H38" s="4" t="s">
        <v>4</v>
      </c>
      <c r="I38" s="4" t="s">
        <v>150</v>
      </c>
      <c r="J38" s="6" t="s">
        <v>151</v>
      </c>
      <c r="K38" s="7" t="s">
        <v>152</v>
      </c>
      <c r="L38" s="8" t="s">
        <v>51</v>
      </c>
      <c r="M38" s="8" t="s">
        <v>50</v>
      </c>
      <c r="N38" s="4" t="s">
        <v>61</v>
      </c>
      <c r="O38" s="4" t="s">
        <v>52</v>
      </c>
    </row>
    <row r="39" spans="1:15" ht="15">
      <c r="A39" s="44">
        <v>1</v>
      </c>
      <c r="B39" s="2" t="s">
        <v>7</v>
      </c>
      <c r="C39" s="2" t="s">
        <v>217</v>
      </c>
      <c r="D39" s="2" t="s">
        <v>239</v>
      </c>
      <c r="E39" s="12" t="s">
        <v>203</v>
      </c>
      <c r="F39" s="12">
        <v>37</v>
      </c>
      <c r="G39" s="12">
        <v>4</v>
      </c>
      <c r="H39" s="12">
        <v>13</v>
      </c>
      <c r="I39" s="12">
        <v>1</v>
      </c>
      <c r="J39" s="12">
        <v>1</v>
      </c>
      <c r="K39" s="12">
        <v>1</v>
      </c>
      <c r="L39" s="12">
        <f aca="true" t="shared" si="2" ref="L39:L50">G39*H39*I39*J39*K39</f>
        <v>52</v>
      </c>
      <c r="M39" s="12">
        <v>1.2</v>
      </c>
      <c r="N39" s="12">
        <f>L39*M39</f>
        <v>62.4</v>
      </c>
      <c r="O39" s="45"/>
    </row>
    <row r="40" spans="1:15" ht="15">
      <c r="A40" s="44">
        <v>2</v>
      </c>
      <c r="B40" s="2" t="s">
        <v>7</v>
      </c>
      <c r="C40" s="2" t="s">
        <v>218</v>
      </c>
      <c r="D40" s="2" t="s">
        <v>240</v>
      </c>
      <c r="E40" s="12" t="s">
        <v>241</v>
      </c>
      <c r="F40" s="12">
        <v>68</v>
      </c>
      <c r="G40" s="12">
        <v>3</v>
      </c>
      <c r="H40" s="12">
        <v>12</v>
      </c>
      <c r="I40" s="12">
        <v>1.5</v>
      </c>
      <c r="J40" s="12">
        <v>1</v>
      </c>
      <c r="K40" s="12">
        <v>1</v>
      </c>
      <c r="L40" s="12">
        <f t="shared" si="2"/>
        <v>54</v>
      </c>
      <c r="M40" s="12">
        <v>1.2</v>
      </c>
      <c r="N40" s="12">
        <f aca="true" t="shared" si="3" ref="N40:N50">L40*M40</f>
        <v>64.8</v>
      </c>
      <c r="O40" s="45"/>
    </row>
    <row r="41" spans="1:15" ht="15">
      <c r="A41" s="44">
        <v>3</v>
      </c>
      <c r="B41" s="2" t="s">
        <v>6</v>
      </c>
      <c r="C41" s="2" t="s">
        <v>217</v>
      </c>
      <c r="D41" s="2" t="s">
        <v>242</v>
      </c>
      <c r="E41" s="12" t="s">
        <v>241</v>
      </c>
      <c r="F41" s="12">
        <v>31</v>
      </c>
      <c r="G41" s="12">
        <v>4</v>
      </c>
      <c r="H41" s="12">
        <v>13</v>
      </c>
      <c r="I41" s="12">
        <v>1</v>
      </c>
      <c r="J41" s="12">
        <v>1</v>
      </c>
      <c r="K41" s="12">
        <v>1</v>
      </c>
      <c r="L41" s="12">
        <f t="shared" si="2"/>
        <v>52</v>
      </c>
      <c r="M41" s="12">
        <v>1.2</v>
      </c>
      <c r="N41" s="12">
        <f t="shared" si="3"/>
        <v>62.4</v>
      </c>
      <c r="O41" s="45"/>
    </row>
    <row r="42" spans="1:15" ht="15">
      <c r="A42" s="44">
        <v>4</v>
      </c>
      <c r="B42" s="2" t="s">
        <v>13</v>
      </c>
      <c r="C42" s="2" t="s">
        <v>219</v>
      </c>
      <c r="D42" s="2" t="s">
        <v>240</v>
      </c>
      <c r="E42" s="12" t="s">
        <v>241</v>
      </c>
      <c r="F42" s="12">
        <v>68</v>
      </c>
      <c r="G42" s="12">
        <v>4</v>
      </c>
      <c r="H42" s="12">
        <v>12</v>
      </c>
      <c r="I42" s="12">
        <v>1.5</v>
      </c>
      <c r="J42" s="12">
        <v>1</v>
      </c>
      <c r="K42" s="12">
        <v>1</v>
      </c>
      <c r="L42" s="12">
        <f t="shared" si="2"/>
        <v>72</v>
      </c>
      <c r="M42" s="12">
        <v>1.2</v>
      </c>
      <c r="N42" s="12">
        <f t="shared" si="3"/>
        <v>86.39999999999999</v>
      </c>
      <c r="O42" s="45"/>
    </row>
    <row r="43" spans="1:15" ht="15">
      <c r="A43" s="44">
        <v>5</v>
      </c>
      <c r="B43" s="2" t="s">
        <v>13</v>
      </c>
      <c r="C43" s="2" t="s">
        <v>220</v>
      </c>
      <c r="D43" s="2" t="s">
        <v>240</v>
      </c>
      <c r="E43" s="12" t="s">
        <v>241</v>
      </c>
      <c r="F43" s="12">
        <v>68</v>
      </c>
      <c r="G43" s="12">
        <v>2</v>
      </c>
      <c r="H43" s="12">
        <v>12</v>
      </c>
      <c r="I43" s="12">
        <v>1.5</v>
      </c>
      <c r="J43" s="12">
        <v>1</v>
      </c>
      <c r="K43" s="12">
        <v>1</v>
      </c>
      <c r="L43" s="12">
        <f t="shared" si="2"/>
        <v>36</v>
      </c>
      <c r="M43" s="12">
        <v>1.2</v>
      </c>
      <c r="N43" s="12">
        <f t="shared" si="3"/>
        <v>43.199999999999996</v>
      </c>
      <c r="O43" s="45"/>
    </row>
    <row r="44" spans="1:15" ht="15">
      <c r="A44" s="44">
        <v>6</v>
      </c>
      <c r="B44" s="2" t="s">
        <v>8</v>
      </c>
      <c r="C44" s="2" t="s">
        <v>221</v>
      </c>
      <c r="D44" s="2" t="s">
        <v>240</v>
      </c>
      <c r="E44" s="12" t="s">
        <v>241</v>
      </c>
      <c r="F44" s="12">
        <v>68</v>
      </c>
      <c r="G44" s="12">
        <v>3</v>
      </c>
      <c r="H44" s="12">
        <v>10</v>
      </c>
      <c r="I44" s="12">
        <v>1.5</v>
      </c>
      <c r="J44" s="12">
        <v>1</v>
      </c>
      <c r="K44" s="12">
        <v>1</v>
      </c>
      <c r="L44" s="12">
        <f t="shared" si="2"/>
        <v>45</v>
      </c>
      <c r="M44" s="12">
        <v>1.2</v>
      </c>
      <c r="N44" s="12">
        <f t="shared" si="3"/>
        <v>54</v>
      </c>
      <c r="O44" s="45"/>
    </row>
    <row r="45" spans="1:15" ht="15">
      <c r="A45" s="44">
        <v>7</v>
      </c>
      <c r="B45" s="2" t="s">
        <v>8</v>
      </c>
      <c r="C45" s="2" t="s">
        <v>222</v>
      </c>
      <c r="D45" s="2" t="s">
        <v>243</v>
      </c>
      <c r="E45" s="12" t="s">
        <v>241</v>
      </c>
      <c r="F45" s="12">
        <v>40</v>
      </c>
      <c r="G45" s="12">
        <v>4</v>
      </c>
      <c r="H45" s="12">
        <v>15</v>
      </c>
      <c r="I45" s="12">
        <v>1</v>
      </c>
      <c r="J45" s="12">
        <v>1</v>
      </c>
      <c r="K45" s="12">
        <v>1</v>
      </c>
      <c r="L45" s="12">
        <f t="shared" si="2"/>
        <v>60</v>
      </c>
      <c r="M45" s="12">
        <v>1.2</v>
      </c>
      <c r="N45" s="12">
        <f t="shared" si="3"/>
        <v>72</v>
      </c>
      <c r="O45" s="45"/>
    </row>
    <row r="46" spans="1:15" ht="15">
      <c r="A46" s="44">
        <v>8</v>
      </c>
      <c r="B46" s="2" t="s">
        <v>11</v>
      </c>
      <c r="C46" s="2" t="s">
        <v>223</v>
      </c>
      <c r="D46" s="2" t="s">
        <v>240</v>
      </c>
      <c r="E46" s="12" t="s">
        <v>241</v>
      </c>
      <c r="F46" s="12">
        <v>68</v>
      </c>
      <c r="G46" s="12">
        <v>2</v>
      </c>
      <c r="H46" s="12">
        <v>12</v>
      </c>
      <c r="I46" s="12">
        <v>1.5</v>
      </c>
      <c r="J46" s="12">
        <v>1</v>
      </c>
      <c r="K46" s="12">
        <v>1</v>
      </c>
      <c r="L46" s="12">
        <f t="shared" si="2"/>
        <v>36</v>
      </c>
      <c r="M46" s="12">
        <v>1.2</v>
      </c>
      <c r="N46" s="12">
        <f t="shared" si="3"/>
        <v>43.199999999999996</v>
      </c>
      <c r="O46" s="45"/>
    </row>
    <row r="47" spans="1:15" ht="15">
      <c r="A47" s="44">
        <v>9</v>
      </c>
      <c r="B47" s="2" t="s">
        <v>11</v>
      </c>
      <c r="C47" s="2" t="s">
        <v>224</v>
      </c>
      <c r="D47" s="2" t="s">
        <v>240</v>
      </c>
      <c r="E47" s="12" t="s">
        <v>241</v>
      </c>
      <c r="F47" s="12">
        <v>68</v>
      </c>
      <c r="G47" s="12">
        <v>2</v>
      </c>
      <c r="H47" s="12">
        <v>13</v>
      </c>
      <c r="I47" s="12">
        <v>1.5</v>
      </c>
      <c r="J47" s="12">
        <v>1</v>
      </c>
      <c r="K47" s="12">
        <v>1</v>
      </c>
      <c r="L47" s="12">
        <f t="shared" si="2"/>
        <v>39</v>
      </c>
      <c r="M47" s="12">
        <v>1.2</v>
      </c>
      <c r="N47" s="12">
        <f t="shared" si="3"/>
        <v>46.8</v>
      </c>
      <c r="O47" s="45"/>
    </row>
    <row r="48" spans="1:15" ht="15">
      <c r="A48" s="44">
        <v>10</v>
      </c>
      <c r="B48" s="2" t="s">
        <v>11</v>
      </c>
      <c r="C48" s="2" t="s">
        <v>225</v>
      </c>
      <c r="D48" s="2" t="s">
        <v>240</v>
      </c>
      <c r="E48" s="12" t="s">
        <v>241</v>
      </c>
      <c r="F48" s="12">
        <v>68</v>
      </c>
      <c r="G48" s="12">
        <v>2</v>
      </c>
      <c r="H48" s="12">
        <v>12</v>
      </c>
      <c r="I48" s="12">
        <v>1.5</v>
      </c>
      <c r="J48" s="12">
        <v>1</v>
      </c>
      <c r="K48" s="12">
        <v>1</v>
      </c>
      <c r="L48" s="12">
        <f t="shared" si="2"/>
        <v>36</v>
      </c>
      <c r="M48" s="12">
        <v>1.2</v>
      </c>
      <c r="N48" s="12">
        <f t="shared" si="3"/>
        <v>43.199999999999996</v>
      </c>
      <c r="O48" s="45"/>
    </row>
    <row r="49" spans="1:15" ht="15">
      <c r="A49" s="44">
        <v>11</v>
      </c>
      <c r="B49" s="2" t="s">
        <v>12</v>
      </c>
      <c r="C49" s="2" t="s">
        <v>226</v>
      </c>
      <c r="D49" s="2" t="s">
        <v>240</v>
      </c>
      <c r="E49" s="12" t="s">
        <v>241</v>
      </c>
      <c r="F49" s="12">
        <v>68</v>
      </c>
      <c r="G49" s="12">
        <v>2</v>
      </c>
      <c r="H49" s="12">
        <v>13</v>
      </c>
      <c r="I49" s="12">
        <v>1.5</v>
      </c>
      <c r="J49" s="12">
        <v>1</v>
      </c>
      <c r="K49" s="12">
        <v>1</v>
      </c>
      <c r="L49" s="12">
        <f t="shared" si="2"/>
        <v>39</v>
      </c>
      <c r="M49" s="12">
        <v>1.2</v>
      </c>
      <c r="N49" s="12">
        <f t="shared" si="3"/>
        <v>46.8</v>
      </c>
      <c r="O49" s="45"/>
    </row>
    <row r="50" spans="1:15" ht="15">
      <c r="A50" s="44">
        <v>12</v>
      </c>
      <c r="B50" s="2" t="s">
        <v>12</v>
      </c>
      <c r="C50" s="2" t="s">
        <v>222</v>
      </c>
      <c r="D50" s="2" t="s">
        <v>244</v>
      </c>
      <c r="E50" s="12" t="s">
        <v>241</v>
      </c>
      <c r="F50" s="12">
        <v>39</v>
      </c>
      <c r="G50" s="12">
        <v>4</v>
      </c>
      <c r="H50" s="12">
        <v>15</v>
      </c>
      <c r="I50" s="12">
        <v>1</v>
      </c>
      <c r="J50" s="12">
        <v>1</v>
      </c>
      <c r="K50" s="12">
        <v>1</v>
      </c>
      <c r="L50" s="12">
        <f t="shared" si="2"/>
        <v>60</v>
      </c>
      <c r="M50" s="12">
        <v>1.2</v>
      </c>
      <c r="N50" s="12">
        <f t="shared" si="3"/>
        <v>72</v>
      </c>
      <c r="O50" s="45"/>
    </row>
    <row r="51" spans="1:15" ht="14.25">
      <c r="A51" s="125" t="s">
        <v>207</v>
      </c>
      <c r="B51" s="125"/>
      <c r="C51" s="125"/>
      <c r="D51" s="13"/>
      <c r="E51" s="14"/>
      <c r="F51" s="14"/>
      <c r="G51" s="13"/>
      <c r="H51" s="13"/>
      <c r="I51" s="14"/>
      <c r="J51" s="14"/>
      <c r="K51" s="14"/>
      <c r="L51" s="12">
        <f>SUM(L39:L50)</f>
        <v>581</v>
      </c>
      <c r="M51" s="12"/>
      <c r="N51" s="12">
        <f>SUM(N39:N50)</f>
        <v>697.1999999999999</v>
      </c>
      <c r="O51" s="13"/>
    </row>
    <row r="53" spans="1:12" ht="14.25">
      <c r="A53" s="9" t="s">
        <v>209</v>
      </c>
      <c r="B53" s="9"/>
      <c r="C53" s="9"/>
      <c r="D53" s="43"/>
      <c r="E53" s="3" t="s">
        <v>14</v>
      </c>
      <c r="F53" s="3"/>
      <c r="I53"/>
      <c r="L53" s="3" t="s">
        <v>210</v>
      </c>
    </row>
    <row r="67" ht="20.25">
      <c r="C67" s="1" t="s">
        <v>246</v>
      </c>
    </row>
    <row r="68" spans="4:6" ht="14.25" customHeight="1">
      <c r="D68" s="1"/>
      <c r="E68" s="11"/>
      <c r="F68" s="11"/>
    </row>
    <row r="69" spans="1:15" ht="26.25" customHeight="1">
      <c r="A69" s="4" t="s">
        <v>0</v>
      </c>
      <c r="B69" s="4" t="s">
        <v>5</v>
      </c>
      <c r="C69" s="4" t="s">
        <v>1</v>
      </c>
      <c r="D69" s="4" t="s">
        <v>2</v>
      </c>
      <c r="E69" s="5" t="s">
        <v>53</v>
      </c>
      <c r="F69" s="4" t="s">
        <v>149</v>
      </c>
      <c r="G69" s="4" t="s">
        <v>3</v>
      </c>
      <c r="H69" s="4" t="s">
        <v>4</v>
      </c>
      <c r="I69" s="4" t="s">
        <v>150</v>
      </c>
      <c r="J69" s="6" t="s">
        <v>151</v>
      </c>
      <c r="K69" s="7" t="s">
        <v>152</v>
      </c>
      <c r="L69" s="8" t="s">
        <v>51</v>
      </c>
      <c r="M69" s="8" t="s">
        <v>50</v>
      </c>
      <c r="N69" s="4" t="s">
        <v>61</v>
      </c>
      <c r="O69" s="4" t="s">
        <v>52</v>
      </c>
    </row>
    <row r="70" spans="1:15" ht="15">
      <c r="A70" s="44">
        <v>1</v>
      </c>
      <c r="B70" s="2" t="s">
        <v>63</v>
      </c>
      <c r="C70" s="2" t="s">
        <v>190</v>
      </c>
      <c r="D70" s="2" t="s">
        <v>235</v>
      </c>
      <c r="E70" s="12" t="s">
        <v>203</v>
      </c>
      <c r="F70" s="12">
        <v>73</v>
      </c>
      <c r="G70" s="12">
        <v>3</v>
      </c>
      <c r="H70" s="12">
        <v>14</v>
      </c>
      <c r="I70" s="12">
        <v>1.5</v>
      </c>
      <c r="J70" s="12">
        <v>1</v>
      </c>
      <c r="K70" s="12">
        <v>1</v>
      </c>
      <c r="L70" s="12">
        <f aca="true" t="shared" si="4" ref="L70:L83">G70*H70*I70*J70*K70</f>
        <v>63</v>
      </c>
      <c r="M70" s="12">
        <v>0.9</v>
      </c>
      <c r="N70" s="12">
        <f>L70*M70</f>
        <v>56.7</v>
      </c>
      <c r="O70" s="40"/>
    </row>
    <row r="71" spans="1:15" ht="15">
      <c r="A71" s="44">
        <v>2</v>
      </c>
      <c r="B71" s="2" t="s">
        <v>63</v>
      </c>
      <c r="C71" s="2" t="s">
        <v>190</v>
      </c>
      <c r="D71" s="2" t="s">
        <v>236</v>
      </c>
      <c r="E71" s="12" t="s">
        <v>203</v>
      </c>
      <c r="F71" s="12">
        <v>35</v>
      </c>
      <c r="G71" s="12">
        <v>3</v>
      </c>
      <c r="H71" s="12">
        <v>14</v>
      </c>
      <c r="I71" s="12">
        <v>1</v>
      </c>
      <c r="J71" s="12">
        <v>1</v>
      </c>
      <c r="K71" s="12">
        <v>0.8</v>
      </c>
      <c r="L71" s="12">
        <f t="shared" si="4"/>
        <v>33.6</v>
      </c>
      <c r="M71" s="12">
        <v>0.9</v>
      </c>
      <c r="N71" s="12">
        <f aca="true" t="shared" si="5" ref="N71:N83">L71*M71</f>
        <v>30.240000000000002</v>
      </c>
      <c r="O71" s="40"/>
    </row>
    <row r="72" spans="1:15" ht="15">
      <c r="A72" s="44">
        <v>3</v>
      </c>
      <c r="B72" s="2" t="s">
        <v>63</v>
      </c>
      <c r="C72" s="2" t="s">
        <v>227</v>
      </c>
      <c r="D72" s="2" t="s">
        <v>237</v>
      </c>
      <c r="E72" s="12" t="s">
        <v>203</v>
      </c>
      <c r="F72" s="12">
        <v>108</v>
      </c>
      <c r="G72" s="12">
        <v>4</v>
      </c>
      <c r="H72" s="12">
        <v>8</v>
      </c>
      <c r="I72" s="12">
        <v>1.7</v>
      </c>
      <c r="J72" s="12">
        <v>1</v>
      </c>
      <c r="K72" s="12">
        <v>1</v>
      </c>
      <c r="L72" s="12">
        <f t="shared" si="4"/>
        <v>54.4</v>
      </c>
      <c r="M72" s="12">
        <v>0.9</v>
      </c>
      <c r="N72" s="12">
        <f t="shared" si="5"/>
        <v>48.96</v>
      </c>
      <c r="O72" s="40"/>
    </row>
    <row r="73" spans="1:15" ht="15">
      <c r="A73" s="44">
        <v>4</v>
      </c>
      <c r="B73" s="2" t="s">
        <v>30</v>
      </c>
      <c r="C73" s="2" t="s">
        <v>228</v>
      </c>
      <c r="D73" s="2" t="s">
        <v>235</v>
      </c>
      <c r="E73" s="12" t="s">
        <v>203</v>
      </c>
      <c r="F73" s="12">
        <v>73</v>
      </c>
      <c r="G73" s="12">
        <v>2</v>
      </c>
      <c r="H73" s="12">
        <v>16</v>
      </c>
      <c r="I73" s="12">
        <v>1.5</v>
      </c>
      <c r="J73" s="12">
        <v>1</v>
      </c>
      <c r="K73" s="12">
        <v>1</v>
      </c>
      <c r="L73" s="12">
        <f t="shared" si="4"/>
        <v>48</v>
      </c>
      <c r="M73" s="12">
        <v>1.05</v>
      </c>
      <c r="N73" s="12">
        <f t="shared" si="5"/>
        <v>50.400000000000006</v>
      </c>
      <c r="O73" s="40"/>
    </row>
    <row r="74" spans="1:15" ht="15">
      <c r="A74" s="44">
        <v>5</v>
      </c>
      <c r="B74" s="2" t="s">
        <v>30</v>
      </c>
      <c r="C74" s="2" t="s">
        <v>228</v>
      </c>
      <c r="D74" s="2" t="s">
        <v>236</v>
      </c>
      <c r="E74" s="12" t="s">
        <v>203</v>
      </c>
      <c r="F74" s="12">
        <v>35</v>
      </c>
      <c r="G74" s="12">
        <v>2</v>
      </c>
      <c r="H74" s="12">
        <v>16</v>
      </c>
      <c r="I74" s="12">
        <v>1</v>
      </c>
      <c r="J74" s="12">
        <v>1</v>
      </c>
      <c r="K74" s="12">
        <v>0.8</v>
      </c>
      <c r="L74" s="12">
        <f t="shared" si="4"/>
        <v>25.6</v>
      </c>
      <c r="M74" s="12">
        <v>1.05</v>
      </c>
      <c r="N74" s="12">
        <f t="shared" si="5"/>
        <v>26.880000000000003</v>
      </c>
      <c r="O74" s="40"/>
    </row>
    <row r="75" spans="1:15" ht="15">
      <c r="A75" s="44">
        <v>6</v>
      </c>
      <c r="B75" s="2" t="s">
        <v>30</v>
      </c>
      <c r="C75" s="2" t="s">
        <v>229</v>
      </c>
      <c r="D75" s="2" t="s">
        <v>237</v>
      </c>
      <c r="E75" s="12" t="s">
        <v>203</v>
      </c>
      <c r="F75" s="12">
        <v>108</v>
      </c>
      <c r="G75" s="12">
        <v>3</v>
      </c>
      <c r="H75" s="12">
        <v>15</v>
      </c>
      <c r="I75" s="12">
        <v>1.7</v>
      </c>
      <c r="J75" s="12">
        <v>1</v>
      </c>
      <c r="K75" s="12">
        <v>1</v>
      </c>
      <c r="L75" s="12">
        <f t="shared" si="4"/>
        <v>76.5</v>
      </c>
      <c r="M75" s="12">
        <v>1.05</v>
      </c>
      <c r="N75" s="12">
        <f t="shared" si="5"/>
        <v>80.325</v>
      </c>
      <c r="O75" s="40"/>
    </row>
    <row r="76" spans="1:15" ht="15">
      <c r="A76" s="44">
        <v>7</v>
      </c>
      <c r="B76" s="2" t="s">
        <v>29</v>
      </c>
      <c r="C76" s="35" t="s">
        <v>292</v>
      </c>
      <c r="D76" s="2" t="s">
        <v>237</v>
      </c>
      <c r="E76" s="12" t="s">
        <v>203</v>
      </c>
      <c r="F76" s="12">
        <v>108</v>
      </c>
      <c r="G76" s="12">
        <v>2</v>
      </c>
      <c r="H76" s="12">
        <v>6</v>
      </c>
      <c r="I76" s="12">
        <v>1.7</v>
      </c>
      <c r="J76" s="12">
        <v>1</v>
      </c>
      <c r="K76" s="12">
        <v>1</v>
      </c>
      <c r="L76" s="12">
        <f t="shared" si="4"/>
        <v>20.4</v>
      </c>
      <c r="M76" s="12">
        <v>1.4</v>
      </c>
      <c r="N76" s="12">
        <f t="shared" si="5"/>
        <v>28.559999999999995</v>
      </c>
      <c r="O76" s="41" t="s">
        <v>245</v>
      </c>
    </row>
    <row r="77" spans="1:15" ht="15">
      <c r="A77" s="44">
        <v>8</v>
      </c>
      <c r="B77" s="2" t="s">
        <v>29</v>
      </c>
      <c r="C77" s="2" t="s">
        <v>230</v>
      </c>
      <c r="D77" s="2" t="s">
        <v>237</v>
      </c>
      <c r="E77" s="12" t="s">
        <v>203</v>
      </c>
      <c r="F77" s="12">
        <v>108</v>
      </c>
      <c r="G77" s="12">
        <v>3</v>
      </c>
      <c r="H77" s="12">
        <v>16</v>
      </c>
      <c r="I77" s="12">
        <v>1.7</v>
      </c>
      <c r="J77" s="12">
        <v>1</v>
      </c>
      <c r="K77" s="12">
        <v>1</v>
      </c>
      <c r="L77" s="12">
        <f t="shared" si="4"/>
        <v>81.6</v>
      </c>
      <c r="M77" s="12">
        <v>1.4</v>
      </c>
      <c r="N77" s="12">
        <f t="shared" si="5"/>
        <v>114.23999999999998</v>
      </c>
      <c r="O77" s="40"/>
    </row>
    <row r="78" spans="1:15" ht="15">
      <c r="A78" s="44">
        <v>9</v>
      </c>
      <c r="B78" s="2" t="s">
        <v>66</v>
      </c>
      <c r="C78" s="2" t="s">
        <v>231</v>
      </c>
      <c r="D78" s="2" t="s">
        <v>235</v>
      </c>
      <c r="E78" s="12" t="s">
        <v>203</v>
      </c>
      <c r="F78" s="12">
        <v>73</v>
      </c>
      <c r="G78" s="12">
        <v>2</v>
      </c>
      <c r="H78" s="12">
        <v>16</v>
      </c>
      <c r="I78" s="12">
        <v>1.5</v>
      </c>
      <c r="J78" s="12">
        <v>1</v>
      </c>
      <c r="K78" s="12">
        <v>1</v>
      </c>
      <c r="L78" s="12">
        <f t="shared" si="4"/>
        <v>48</v>
      </c>
      <c r="M78" s="12">
        <v>1.05</v>
      </c>
      <c r="N78" s="12">
        <f t="shared" si="5"/>
        <v>50.400000000000006</v>
      </c>
      <c r="O78" s="40"/>
    </row>
    <row r="79" spans="1:15" ht="15">
      <c r="A79" s="44">
        <v>10</v>
      </c>
      <c r="B79" s="2" t="s">
        <v>66</v>
      </c>
      <c r="C79" s="2" t="s">
        <v>231</v>
      </c>
      <c r="D79" s="2" t="s">
        <v>236</v>
      </c>
      <c r="E79" s="12" t="s">
        <v>203</v>
      </c>
      <c r="F79" s="12">
        <v>35</v>
      </c>
      <c r="G79" s="12">
        <v>2</v>
      </c>
      <c r="H79" s="12">
        <v>16</v>
      </c>
      <c r="I79" s="12">
        <v>1</v>
      </c>
      <c r="J79" s="12">
        <v>1</v>
      </c>
      <c r="K79" s="12">
        <v>0.8</v>
      </c>
      <c r="L79" s="12">
        <f t="shared" si="4"/>
        <v>25.6</v>
      </c>
      <c r="M79" s="12">
        <v>1.05</v>
      </c>
      <c r="N79" s="12">
        <f t="shared" si="5"/>
        <v>26.880000000000003</v>
      </c>
      <c r="O79" s="40"/>
    </row>
    <row r="80" spans="1:15" ht="15">
      <c r="A80" s="44">
        <v>11</v>
      </c>
      <c r="B80" s="2" t="s">
        <v>66</v>
      </c>
      <c r="C80" s="2" t="s">
        <v>222</v>
      </c>
      <c r="D80" s="2" t="s">
        <v>238</v>
      </c>
      <c r="E80" s="12" t="s">
        <v>203</v>
      </c>
      <c r="F80" s="12">
        <v>90</v>
      </c>
      <c r="G80" s="12">
        <v>2</v>
      </c>
      <c r="H80" s="12">
        <v>16</v>
      </c>
      <c r="I80" s="12">
        <v>1.5</v>
      </c>
      <c r="J80" s="12">
        <v>1</v>
      </c>
      <c r="K80" s="12">
        <v>1</v>
      </c>
      <c r="L80" s="12">
        <f t="shared" si="4"/>
        <v>48</v>
      </c>
      <c r="M80" s="12">
        <v>1.05</v>
      </c>
      <c r="N80" s="12">
        <f t="shared" si="5"/>
        <v>50.400000000000006</v>
      </c>
      <c r="O80" s="40"/>
    </row>
    <row r="81" spans="1:15" ht="15">
      <c r="A81" s="44">
        <v>12</v>
      </c>
      <c r="B81" s="2" t="s">
        <v>64</v>
      </c>
      <c r="C81" s="2" t="s">
        <v>232</v>
      </c>
      <c r="D81" s="2" t="s">
        <v>237</v>
      </c>
      <c r="E81" s="12" t="s">
        <v>203</v>
      </c>
      <c r="F81" s="12">
        <v>108</v>
      </c>
      <c r="G81" s="12">
        <v>4</v>
      </c>
      <c r="H81" s="12">
        <v>8</v>
      </c>
      <c r="I81" s="12">
        <v>1.7</v>
      </c>
      <c r="J81" s="12">
        <v>1</v>
      </c>
      <c r="K81" s="12">
        <v>1</v>
      </c>
      <c r="L81" s="12">
        <f t="shared" si="4"/>
        <v>54.4</v>
      </c>
      <c r="M81" s="12">
        <v>1.2</v>
      </c>
      <c r="N81" s="12">
        <f t="shared" si="5"/>
        <v>65.28</v>
      </c>
      <c r="O81" s="40"/>
    </row>
    <row r="82" spans="1:15" ht="15">
      <c r="A82" s="44">
        <v>13</v>
      </c>
      <c r="B82" s="2" t="s">
        <v>64</v>
      </c>
      <c r="C82" s="2" t="s">
        <v>233</v>
      </c>
      <c r="D82" s="2" t="s">
        <v>238</v>
      </c>
      <c r="E82" s="12" t="s">
        <v>203</v>
      </c>
      <c r="F82" s="12">
        <v>90</v>
      </c>
      <c r="G82" s="12">
        <v>3</v>
      </c>
      <c r="H82" s="12">
        <v>16</v>
      </c>
      <c r="I82" s="12">
        <v>1.5</v>
      </c>
      <c r="J82" s="12">
        <v>1</v>
      </c>
      <c r="K82" s="12">
        <v>1</v>
      </c>
      <c r="L82" s="12">
        <f t="shared" si="4"/>
        <v>72</v>
      </c>
      <c r="M82" s="12">
        <v>1.2</v>
      </c>
      <c r="N82" s="12">
        <f t="shared" si="5"/>
        <v>86.39999999999999</v>
      </c>
      <c r="O82" s="40"/>
    </row>
    <row r="83" spans="1:15" ht="15">
      <c r="A83" s="44">
        <v>14</v>
      </c>
      <c r="B83" s="2" t="s">
        <v>31</v>
      </c>
      <c r="C83" s="2" t="s">
        <v>234</v>
      </c>
      <c r="D83" s="2" t="s">
        <v>238</v>
      </c>
      <c r="E83" s="12" t="s">
        <v>203</v>
      </c>
      <c r="F83" s="12">
        <v>90</v>
      </c>
      <c r="G83" s="12">
        <v>2</v>
      </c>
      <c r="H83" s="12">
        <v>16</v>
      </c>
      <c r="I83" s="12">
        <v>1.5</v>
      </c>
      <c r="J83" s="12">
        <v>1</v>
      </c>
      <c r="K83" s="12">
        <v>1</v>
      </c>
      <c r="L83" s="12">
        <f t="shared" si="4"/>
        <v>48</v>
      </c>
      <c r="M83" s="12">
        <v>1.2</v>
      </c>
      <c r="N83" s="12">
        <f t="shared" si="5"/>
        <v>57.599999999999994</v>
      </c>
      <c r="O83" s="40"/>
    </row>
    <row r="84" spans="1:15" ht="14.25">
      <c r="A84" s="125" t="s">
        <v>207</v>
      </c>
      <c r="B84" s="125"/>
      <c r="C84" s="125"/>
      <c r="D84" s="40"/>
      <c r="E84" s="42"/>
      <c r="F84" s="42"/>
      <c r="G84" s="40"/>
      <c r="H84" s="40"/>
      <c r="I84" s="12"/>
      <c r="J84" s="12"/>
      <c r="K84" s="12"/>
      <c r="L84" s="12">
        <f>SUM(L70:L83)</f>
        <v>699.1</v>
      </c>
      <c r="M84" s="12"/>
      <c r="N84" s="12">
        <f>SUM(N70:N83)</f>
        <v>773.2649999999999</v>
      </c>
      <c r="O84" s="40"/>
    </row>
    <row r="86" spans="1:12" ht="14.25">
      <c r="A86" s="9" t="s">
        <v>209</v>
      </c>
      <c r="B86" s="9"/>
      <c r="C86" s="9"/>
      <c r="D86" s="43"/>
      <c r="E86" s="3" t="s">
        <v>14</v>
      </c>
      <c r="F86" s="3"/>
      <c r="I86"/>
      <c r="L86" s="3" t="s">
        <v>210</v>
      </c>
    </row>
    <row r="98" ht="20.25">
      <c r="C98" s="1" t="s">
        <v>247</v>
      </c>
    </row>
    <row r="99" spans="4:6" ht="14.25" customHeight="1">
      <c r="D99" s="1"/>
      <c r="E99" s="11"/>
      <c r="F99" s="11"/>
    </row>
    <row r="100" spans="1:15" ht="26.25" customHeight="1">
      <c r="A100" s="4" t="s">
        <v>0</v>
      </c>
      <c r="B100" s="4" t="s">
        <v>5</v>
      </c>
      <c r="C100" s="4" t="s">
        <v>1</v>
      </c>
      <c r="D100" s="4" t="s">
        <v>2</v>
      </c>
      <c r="E100" s="5" t="s">
        <v>53</v>
      </c>
      <c r="F100" s="4" t="s">
        <v>149</v>
      </c>
      <c r="G100" s="4" t="s">
        <v>3</v>
      </c>
      <c r="H100" s="4" t="s">
        <v>4</v>
      </c>
      <c r="I100" s="4" t="s">
        <v>150</v>
      </c>
      <c r="J100" s="6" t="s">
        <v>151</v>
      </c>
      <c r="K100" s="7" t="s">
        <v>152</v>
      </c>
      <c r="L100" s="8" t="s">
        <v>51</v>
      </c>
      <c r="M100" s="8" t="s">
        <v>50</v>
      </c>
      <c r="N100" s="4" t="s">
        <v>61</v>
      </c>
      <c r="O100" s="4" t="s">
        <v>52</v>
      </c>
    </row>
    <row r="101" spans="1:15" s="9" customFormat="1" ht="15">
      <c r="A101" s="44">
        <v>1</v>
      </c>
      <c r="B101" s="2" t="s">
        <v>24</v>
      </c>
      <c r="C101" s="2" t="s">
        <v>248</v>
      </c>
      <c r="D101" s="2" t="s">
        <v>258</v>
      </c>
      <c r="E101" s="12" t="s">
        <v>203</v>
      </c>
      <c r="F101" s="12">
        <v>77</v>
      </c>
      <c r="G101" s="2">
        <v>2</v>
      </c>
      <c r="H101" s="2">
        <v>5</v>
      </c>
      <c r="I101" s="12">
        <v>1.5</v>
      </c>
      <c r="J101" s="12">
        <v>1</v>
      </c>
      <c r="K101" s="12">
        <v>1</v>
      </c>
      <c r="L101" s="12">
        <f aca="true" t="shared" si="6" ref="L101:L113">G101*H101*I101*J101*K101</f>
        <v>15</v>
      </c>
      <c r="M101" s="12">
        <v>1.05</v>
      </c>
      <c r="N101" s="12">
        <f>L101*M101</f>
        <v>15.75</v>
      </c>
      <c r="O101" s="41" t="s">
        <v>245</v>
      </c>
    </row>
    <row r="102" spans="1:15" s="9" customFormat="1" ht="15">
      <c r="A102" s="44">
        <v>2</v>
      </c>
      <c r="B102" s="2" t="s">
        <v>24</v>
      </c>
      <c r="C102" s="2" t="s">
        <v>249</v>
      </c>
      <c r="D102" s="2" t="s">
        <v>258</v>
      </c>
      <c r="E102" s="12" t="s">
        <v>203</v>
      </c>
      <c r="F102" s="12">
        <v>77</v>
      </c>
      <c r="G102" s="2">
        <v>4</v>
      </c>
      <c r="H102" s="2">
        <v>15</v>
      </c>
      <c r="I102" s="12">
        <v>1.5</v>
      </c>
      <c r="J102" s="12">
        <v>1</v>
      </c>
      <c r="K102" s="12">
        <v>1</v>
      </c>
      <c r="L102" s="12">
        <f t="shared" si="6"/>
        <v>90</v>
      </c>
      <c r="M102" s="12">
        <v>1.05</v>
      </c>
      <c r="N102" s="12">
        <f aca="true" t="shared" si="7" ref="N102:N113">L102*M102</f>
        <v>94.5</v>
      </c>
      <c r="O102" s="41" t="s">
        <v>315</v>
      </c>
    </row>
    <row r="103" spans="1:15" s="9" customFormat="1" ht="15">
      <c r="A103" s="44">
        <v>3</v>
      </c>
      <c r="B103" s="2" t="s">
        <v>119</v>
      </c>
      <c r="C103" s="2" t="s">
        <v>250</v>
      </c>
      <c r="D103" s="2" t="s">
        <v>258</v>
      </c>
      <c r="E103" s="12" t="s">
        <v>203</v>
      </c>
      <c r="F103" s="12">
        <v>77</v>
      </c>
      <c r="G103" s="2">
        <v>3</v>
      </c>
      <c r="H103" s="2">
        <v>15</v>
      </c>
      <c r="I103" s="12">
        <v>1.5</v>
      </c>
      <c r="J103" s="12">
        <v>1</v>
      </c>
      <c r="K103" s="12">
        <v>1</v>
      </c>
      <c r="L103" s="12">
        <f t="shared" si="6"/>
        <v>67.5</v>
      </c>
      <c r="M103" s="12">
        <v>1.05</v>
      </c>
      <c r="N103" s="53">
        <f t="shared" si="7"/>
        <v>70.875</v>
      </c>
      <c r="O103" s="45"/>
    </row>
    <row r="104" spans="1:15" s="9" customFormat="1" ht="15">
      <c r="A104" s="44">
        <v>4</v>
      </c>
      <c r="B104" s="2" t="s">
        <v>28</v>
      </c>
      <c r="C104" s="2" t="s">
        <v>251</v>
      </c>
      <c r="D104" s="2" t="s">
        <v>259</v>
      </c>
      <c r="E104" s="12" t="s">
        <v>203</v>
      </c>
      <c r="F104" s="12">
        <v>79</v>
      </c>
      <c r="G104" s="2">
        <v>2</v>
      </c>
      <c r="H104" s="2">
        <v>15</v>
      </c>
      <c r="I104" s="12">
        <v>1.5</v>
      </c>
      <c r="J104" s="12">
        <v>1</v>
      </c>
      <c r="K104" s="12">
        <v>1</v>
      </c>
      <c r="L104" s="12">
        <f t="shared" si="6"/>
        <v>45</v>
      </c>
      <c r="M104" s="12">
        <v>1.2</v>
      </c>
      <c r="N104" s="12">
        <f t="shared" si="7"/>
        <v>54</v>
      </c>
      <c r="O104" s="45"/>
    </row>
    <row r="105" spans="1:15" s="9" customFormat="1" ht="15">
      <c r="A105" s="44">
        <v>5</v>
      </c>
      <c r="B105" s="2" t="s">
        <v>90</v>
      </c>
      <c r="C105" s="2" t="s">
        <v>252</v>
      </c>
      <c r="D105" s="2" t="s">
        <v>258</v>
      </c>
      <c r="E105" s="12" t="s">
        <v>203</v>
      </c>
      <c r="F105" s="12">
        <v>77</v>
      </c>
      <c r="G105" s="2">
        <v>4</v>
      </c>
      <c r="H105" s="2">
        <v>15</v>
      </c>
      <c r="I105" s="12">
        <v>1.5</v>
      </c>
      <c r="J105" s="12">
        <v>1</v>
      </c>
      <c r="K105" s="12">
        <v>1</v>
      </c>
      <c r="L105" s="12">
        <f t="shared" si="6"/>
        <v>90</v>
      </c>
      <c r="M105" s="12">
        <v>1.2</v>
      </c>
      <c r="N105" s="12">
        <f t="shared" si="7"/>
        <v>108</v>
      </c>
      <c r="O105" s="45"/>
    </row>
    <row r="106" spans="1:15" s="9" customFormat="1" ht="15">
      <c r="A106" s="44">
        <v>6</v>
      </c>
      <c r="B106" s="2" t="s">
        <v>26</v>
      </c>
      <c r="C106" s="2" t="s">
        <v>253</v>
      </c>
      <c r="D106" s="2" t="s">
        <v>260</v>
      </c>
      <c r="E106" s="12" t="s">
        <v>203</v>
      </c>
      <c r="F106" s="12">
        <v>105</v>
      </c>
      <c r="G106" s="2">
        <v>2</v>
      </c>
      <c r="H106" s="2">
        <v>14</v>
      </c>
      <c r="I106" s="12">
        <v>1.7</v>
      </c>
      <c r="J106" s="12">
        <v>1</v>
      </c>
      <c r="K106" s="12">
        <v>1</v>
      </c>
      <c r="L106" s="12">
        <f t="shared" si="6"/>
        <v>47.6</v>
      </c>
      <c r="M106" s="12">
        <v>1.2</v>
      </c>
      <c r="N106" s="12">
        <f t="shared" si="7"/>
        <v>57.12</v>
      </c>
      <c r="O106" s="45"/>
    </row>
    <row r="107" spans="1:15" s="9" customFormat="1" ht="15">
      <c r="A107" s="44">
        <v>7</v>
      </c>
      <c r="B107" s="2" t="s">
        <v>62</v>
      </c>
      <c r="C107" s="2" t="s">
        <v>254</v>
      </c>
      <c r="D107" s="2" t="s">
        <v>258</v>
      </c>
      <c r="E107" s="12" t="s">
        <v>203</v>
      </c>
      <c r="F107" s="12">
        <v>77</v>
      </c>
      <c r="G107" s="2">
        <v>4</v>
      </c>
      <c r="H107" s="2">
        <v>15</v>
      </c>
      <c r="I107" s="12">
        <v>1.5</v>
      </c>
      <c r="J107" s="12">
        <v>1</v>
      </c>
      <c r="K107" s="12">
        <v>1</v>
      </c>
      <c r="L107" s="12">
        <f t="shared" si="6"/>
        <v>90</v>
      </c>
      <c r="M107" s="12">
        <v>1.4</v>
      </c>
      <c r="N107" s="12">
        <f t="shared" si="7"/>
        <v>125.99999999999999</v>
      </c>
      <c r="O107" s="45"/>
    </row>
    <row r="108" spans="1:15" s="9" customFormat="1" ht="15">
      <c r="A108" s="44">
        <v>8</v>
      </c>
      <c r="B108" s="2" t="s">
        <v>62</v>
      </c>
      <c r="C108" s="2" t="s">
        <v>228</v>
      </c>
      <c r="D108" s="2" t="s">
        <v>259</v>
      </c>
      <c r="E108" s="12" t="s">
        <v>203</v>
      </c>
      <c r="F108" s="12">
        <v>79</v>
      </c>
      <c r="G108" s="2">
        <v>2</v>
      </c>
      <c r="H108" s="2">
        <v>15</v>
      </c>
      <c r="I108" s="12">
        <v>1.5</v>
      </c>
      <c r="J108" s="12">
        <v>1</v>
      </c>
      <c r="K108" s="12">
        <v>1</v>
      </c>
      <c r="L108" s="12">
        <f t="shared" si="6"/>
        <v>45</v>
      </c>
      <c r="M108" s="12">
        <v>1.4</v>
      </c>
      <c r="N108" s="12">
        <f t="shared" si="7"/>
        <v>62.99999999999999</v>
      </c>
      <c r="O108" s="45"/>
    </row>
    <row r="109" spans="1:15" s="9" customFormat="1" ht="15">
      <c r="A109" s="44">
        <v>9</v>
      </c>
      <c r="B109" s="2" t="s">
        <v>62</v>
      </c>
      <c r="C109" s="2" t="s">
        <v>253</v>
      </c>
      <c r="D109" s="2" t="s">
        <v>261</v>
      </c>
      <c r="E109" s="12" t="s">
        <v>203</v>
      </c>
      <c r="F109" s="12">
        <v>77</v>
      </c>
      <c r="G109" s="2">
        <v>2</v>
      </c>
      <c r="H109" s="2">
        <v>15</v>
      </c>
      <c r="I109" s="12">
        <v>1.5</v>
      </c>
      <c r="J109" s="12">
        <v>1</v>
      </c>
      <c r="K109" s="12">
        <v>1</v>
      </c>
      <c r="L109" s="12">
        <f t="shared" si="6"/>
        <v>45</v>
      </c>
      <c r="M109" s="12">
        <v>1.4</v>
      </c>
      <c r="N109" s="12">
        <f t="shared" si="7"/>
        <v>62.99999999999999</v>
      </c>
      <c r="O109" s="45"/>
    </row>
    <row r="110" spans="1:15" s="9" customFormat="1" ht="15">
      <c r="A110" s="44">
        <v>10</v>
      </c>
      <c r="B110" s="2" t="s">
        <v>256</v>
      </c>
      <c r="C110" s="2" t="s">
        <v>255</v>
      </c>
      <c r="D110" s="2" t="s">
        <v>258</v>
      </c>
      <c r="E110" s="12" t="s">
        <v>203</v>
      </c>
      <c r="F110" s="12">
        <v>77</v>
      </c>
      <c r="G110" s="2">
        <v>2</v>
      </c>
      <c r="H110" s="2">
        <v>15</v>
      </c>
      <c r="I110" s="12">
        <v>1.5</v>
      </c>
      <c r="J110" s="12">
        <v>1</v>
      </c>
      <c r="K110" s="12">
        <v>1</v>
      </c>
      <c r="L110" s="12">
        <f t="shared" si="6"/>
        <v>45</v>
      </c>
      <c r="M110" s="12">
        <v>0.9</v>
      </c>
      <c r="N110" s="12">
        <f t="shared" si="7"/>
        <v>40.5</v>
      </c>
      <c r="O110" s="45"/>
    </row>
    <row r="111" spans="1:15" s="9" customFormat="1" ht="15">
      <c r="A111" s="44">
        <v>11</v>
      </c>
      <c r="B111" s="2" t="s">
        <v>25</v>
      </c>
      <c r="C111" s="2" t="s">
        <v>257</v>
      </c>
      <c r="D111" s="2" t="s">
        <v>262</v>
      </c>
      <c r="E111" s="12" t="s">
        <v>203</v>
      </c>
      <c r="F111" s="12">
        <v>28</v>
      </c>
      <c r="G111" s="2">
        <v>2</v>
      </c>
      <c r="H111" s="2">
        <v>17</v>
      </c>
      <c r="I111" s="12">
        <v>0.9</v>
      </c>
      <c r="J111" s="12">
        <v>1</v>
      </c>
      <c r="K111" s="12">
        <v>1</v>
      </c>
      <c r="L111" s="12">
        <f t="shared" si="6"/>
        <v>30.6</v>
      </c>
      <c r="M111" s="12">
        <v>1.2</v>
      </c>
      <c r="N111" s="12">
        <f t="shared" si="7"/>
        <v>36.72</v>
      </c>
      <c r="O111" s="47" t="s">
        <v>265</v>
      </c>
    </row>
    <row r="112" spans="1:15" s="9" customFormat="1" ht="15">
      <c r="A112" s="44">
        <v>12</v>
      </c>
      <c r="B112" s="2" t="s">
        <v>25</v>
      </c>
      <c r="C112" s="2" t="s">
        <v>253</v>
      </c>
      <c r="D112" s="2" t="s">
        <v>264</v>
      </c>
      <c r="E112" s="12" t="s">
        <v>203</v>
      </c>
      <c r="F112" s="12">
        <v>38</v>
      </c>
      <c r="G112" s="2">
        <v>2</v>
      </c>
      <c r="H112" s="2">
        <v>15</v>
      </c>
      <c r="I112" s="12">
        <v>1</v>
      </c>
      <c r="J112" s="12">
        <v>1</v>
      </c>
      <c r="K112" s="12">
        <v>1</v>
      </c>
      <c r="L112" s="12">
        <f t="shared" si="6"/>
        <v>30</v>
      </c>
      <c r="M112" s="12">
        <v>1.2</v>
      </c>
      <c r="N112" s="12">
        <f t="shared" si="7"/>
        <v>36</v>
      </c>
      <c r="O112" s="47"/>
    </row>
    <row r="113" spans="1:15" s="9" customFormat="1" ht="15">
      <c r="A113" s="44">
        <v>13</v>
      </c>
      <c r="B113" s="2" t="s">
        <v>25</v>
      </c>
      <c r="C113" s="2" t="s">
        <v>253</v>
      </c>
      <c r="D113" s="2" t="s">
        <v>263</v>
      </c>
      <c r="E113" s="12" t="s">
        <v>203</v>
      </c>
      <c r="F113" s="12">
        <v>37</v>
      </c>
      <c r="G113" s="2">
        <v>2</v>
      </c>
      <c r="H113" s="2">
        <v>11</v>
      </c>
      <c r="I113" s="12">
        <v>1</v>
      </c>
      <c r="J113" s="12">
        <v>1</v>
      </c>
      <c r="K113" s="12">
        <v>0.8</v>
      </c>
      <c r="L113" s="12">
        <f t="shared" si="6"/>
        <v>17.6</v>
      </c>
      <c r="M113" s="12">
        <v>1.2</v>
      </c>
      <c r="N113" s="12">
        <f t="shared" si="7"/>
        <v>21.12</v>
      </c>
      <c r="O113" s="45"/>
    </row>
    <row r="114" spans="1:15" ht="14.25">
      <c r="A114" s="125" t="s">
        <v>207</v>
      </c>
      <c r="B114" s="125"/>
      <c r="C114" s="125"/>
      <c r="D114" s="40"/>
      <c r="E114" s="42"/>
      <c r="F114" s="42"/>
      <c r="G114" s="40"/>
      <c r="H114" s="40"/>
      <c r="I114" s="42"/>
      <c r="J114" s="42"/>
      <c r="K114" s="42"/>
      <c r="L114" s="12">
        <f>SUM(L101:L113)</f>
        <v>658.3000000000001</v>
      </c>
      <c r="M114" s="12"/>
      <c r="N114" s="53">
        <f>SUM(N101:N113)</f>
        <v>786.585</v>
      </c>
      <c r="O114" s="40"/>
    </row>
    <row r="116" spans="1:12" ht="14.25">
      <c r="A116" s="9" t="s">
        <v>209</v>
      </c>
      <c r="B116" s="9"/>
      <c r="C116" s="9"/>
      <c r="D116" s="43"/>
      <c r="E116" s="3" t="s">
        <v>14</v>
      </c>
      <c r="F116" s="3"/>
      <c r="I116"/>
      <c r="L116" s="3" t="s">
        <v>210</v>
      </c>
    </row>
    <row r="129" ht="20.25">
      <c r="C129" s="1" t="s">
        <v>275</v>
      </c>
    </row>
    <row r="130" spans="4:6" ht="14.25" customHeight="1">
      <c r="D130" s="1"/>
      <c r="E130" s="11"/>
      <c r="F130" s="11"/>
    </row>
    <row r="131" spans="1:15" ht="26.25" customHeight="1">
      <c r="A131" s="4" t="s">
        <v>0</v>
      </c>
      <c r="B131" s="4" t="s">
        <v>5</v>
      </c>
      <c r="C131" s="4" t="s">
        <v>1</v>
      </c>
      <c r="D131" s="4" t="s">
        <v>2</v>
      </c>
      <c r="E131" s="5" t="s">
        <v>53</v>
      </c>
      <c r="F131" s="4" t="s">
        <v>149</v>
      </c>
      <c r="G131" s="4" t="s">
        <v>3</v>
      </c>
      <c r="H131" s="4" t="s">
        <v>4</v>
      </c>
      <c r="I131" s="4" t="s">
        <v>150</v>
      </c>
      <c r="J131" s="6" t="s">
        <v>151</v>
      </c>
      <c r="K131" s="7" t="s">
        <v>152</v>
      </c>
      <c r="L131" s="8" t="s">
        <v>51</v>
      </c>
      <c r="M131" s="8" t="s">
        <v>50</v>
      </c>
      <c r="N131" s="4" t="s">
        <v>61</v>
      </c>
      <c r="O131" s="4" t="s">
        <v>52</v>
      </c>
    </row>
    <row r="132" spans="1:15" s="9" customFormat="1" ht="15">
      <c r="A132" s="44">
        <v>1</v>
      </c>
      <c r="B132" s="2" t="s">
        <v>32</v>
      </c>
      <c r="C132" s="2" t="s">
        <v>266</v>
      </c>
      <c r="D132" s="2" t="s">
        <v>237</v>
      </c>
      <c r="E132" s="12" t="s">
        <v>203</v>
      </c>
      <c r="F132" s="12">
        <v>108</v>
      </c>
      <c r="G132" s="2">
        <v>2</v>
      </c>
      <c r="H132" s="2">
        <v>16</v>
      </c>
      <c r="I132" s="12">
        <v>1.7</v>
      </c>
      <c r="J132" s="12">
        <v>1</v>
      </c>
      <c r="K132" s="12">
        <v>1</v>
      </c>
      <c r="L132" s="12">
        <f aca="true" t="shared" si="8" ref="L132:L137">G132*H132*I132*J132*K132</f>
        <v>54.4</v>
      </c>
      <c r="M132" s="12">
        <v>1.2</v>
      </c>
      <c r="N132" s="12">
        <f aca="true" t="shared" si="9" ref="N132:N137">L132*M132</f>
        <v>65.28</v>
      </c>
      <c r="O132" s="45"/>
    </row>
    <row r="133" spans="1:15" s="9" customFormat="1" ht="15">
      <c r="A133" s="44">
        <v>2</v>
      </c>
      <c r="B133" s="2" t="s">
        <v>32</v>
      </c>
      <c r="C133" s="2" t="s">
        <v>267</v>
      </c>
      <c r="D133" s="2" t="s">
        <v>272</v>
      </c>
      <c r="E133" s="12" t="s">
        <v>273</v>
      </c>
      <c r="F133" s="12">
        <v>71</v>
      </c>
      <c r="G133" s="2">
        <v>4</v>
      </c>
      <c r="H133" s="2">
        <v>18</v>
      </c>
      <c r="I133" s="12">
        <v>1.5</v>
      </c>
      <c r="J133" s="12">
        <v>1</v>
      </c>
      <c r="K133" s="12">
        <v>1</v>
      </c>
      <c r="L133" s="12">
        <f t="shared" si="8"/>
        <v>108</v>
      </c>
      <c r="M133" s="12">
        <v>1.2</v>
      </c>
      <c r="N133" s="12">
        <f t="shared" si="9"/>
        <v>129.6</v>
      </c>
      <c r="O133" s="45"/>
    </row>
    <row r="134" spans="1:15" s="9" customFormat="1" ht="15">
      <c r="A134" s="44">
        <v>3</v>
      </c>
      <c r="B134" s="2" t="s">
        <v>56</v>
      </c>
      <c r="C134" s="2" t="s">
        <v>268</v>
      </c>
      <c r="D134" s="2" t="s">
        <v>274</v>
      </c>
      <c r="E134" s="12" t="s">
        <v>273</v>
      </c>
      <c r="F134" s="12">
        <v>81</v>
      </c>
      <c r="G134" s="2">
        <v>3</v>
      </c>
      <c r="H134" s="2">
        <v>16</v>
      </c>
      <c r="I134" s="12">
        <v>1.5</v>
      </c>
      <c r="J134" s="12">
        <v>1</v>
      </c>
      <c r="K134" s="12">
        <v>1</v>
      </c>
      <c r="L134" s="12">
        <f t="shared" si="8"/>
        <v>72</v>
      </c>
      <c r="M134" s="12">
        <v>1.2</v>
      </c>
      <c r="N134" s="12">
        <f t="shared" si="9"/>
        <v>86.39999999999999</v>
      </c>
      <c r="O134" s="45"/>
    </row>
    <row r="135" spans="1:15" s="9" customFormat="1" ht="15">
      <c r="A135" s="44">
        <v>4</v>
      </c>
      <c r="B135" s="2" t="s">
        <v>34</v>
      </c>
      <c r="C135" s="2" t="s">
        <v>269</v>
      </c>
      <c r="D135" s="2" t="s">
        <v>274</v>
      </c>
      <c r="E135" s="12" t="s">
        <v>273</v>
      </c>
      <c r="F135" s="12">
        <v>81</v>
      </c>
      <c r="G135" s="2">
        <v>4</v>
      </c>
      <c r="H135" s="2">
        <v>13</v>
      </c>
      <c r="I135" s="12">
        <v>1.5</v>
      </c>
      <c r="J135" s="12">
        <v>1</v>
      </c>
      <c r="K135" s="12">
        <v>1</v>
      </c>
      <c r="L135" s="12">
        <f t="shared" si="8"/>
        <v>78</v>
      </c>
      <c r="M135" s="12">
        <v>0.9</v>
      </c>
      <c r="N135" s="12">
        <f t="shared" si="9"/>
        <v>70.2</v>
      </c>
      <c r="O135" s="45"/>
    </row>
    <row r="136" spans="1:15" s="9" customFormat="1" ht="15">
      <c r="A136" s="44">
        <v>5</v>
      </c>
      <c r="B136" s="2" t="s">
        <v>68</v>
      </c>
      <c r="C136" s="2" t="s">
        <v>270</v>
      </c>
      <c r="D136" s="2" t="s">
        <v>274</v>
      </c>
      <c r="E136" s="12" t="s">
        <v>273</v>
      </c>
      <c r="F136" s="12">
        <v>81</v>
      </c>
      <c r="G136" s="2">
        <v>4</v>
      </c>
      <c r="H136" s="2">
        <v>14</v>
      </c>
      <c r="I136" s="12">
        <v>1.5</v>
      </c>
      <c r="J136" s="12">
        <v>1</v>
      </c>
      <c r="K136" s="12">
        <v>1</v>
      </c>
      <c r="L136" s="12">
        <f t="shared" si="8"/>
        <v>84</v>
      </c>
      <c r="M136" s="12">
        <v>1.2</v>
      </c>
      <c r="N136" s="12">
        <f t="shared" si="9"/>
        <v>100.8</v>
      </c>
      <c r="O136" s="45"/>
    </row>
    <row r="137" spans="1:15" s="9" customFormat="1" ht="15">
      <c r="A137" s="44">
        <v>6</v>
      </c>
      <c r="B137" s="2" t="s">
        <v>33</v>
      </c>
      <c r="C137" s="2" t="s">
        <v>271</v>
      </c>
      <c r="D137" s="2" t="s">
        <v>274</v>
      </c>
      <c r="E137" s="12" t="s">
        <v>273</v>
      </c>
      <c r="F137" s="12">
        <v>81</v>
      </c>
      <c r="G137" s="2">
        <v>4</v>
      </c>
      <c r="H137" s="2">
        <v>13</v>
      </c>
      <c r="I137" s="12">
        <v>1.5</v>
      </c>
      <c r="J137" s="12">
        <v>1</v>
      </c>
      <c r="K137" s="12">
        <v>1</v>
      </c>
      <c r="L137" s="12">
        <f t="shared" si="8"/>
        <v>78</v>
      </c>
      <c r="M137" s="12">
        <v>0.9</v>
      </c>
      <c r="N137" s="12">
        <f t="shared" si="9"/>
        <v>70.2</v>
      </c>
      <c r="O137" s="45"/>
    </row>
    <row r="138" spans="1:15" ht="14.25">
      <c r="A138" s="125" t="s">
        <v>207</v>
      </c>
      <c r="B138" s="125"/>
      <c r="C138" s="125"/>
      <c r="D138" s="40"/>
      <c r="E138" s="42"/>
      <c r="F138" s="42"/>
      <c r="G138" s="40"/>
      <c r="H138" s="40"/>
      <c r="I138" s="42"/>
      <c r="J138" s="42"/>
      <c r="K138" s="42"/>
      <c r="L138" s="12">
        <f>SUM(L132:L137)</f>
        <v>474.4</v>
      </c>
      <c r="M138" s="12"/>
      <c r="N138" s="12">
        <f>SUM(N132:N137)</f>
        <v>522.48</v>
      </c>
      <c r="O138" s="40"/>
    </row>
    <row r="140" spans="1:12" ht="14.25">
      <c r="A140" s="9" t="s">
        <v>209</v>
      </c>
      <c r="B140" s="9"/>
      <c r="C140" s="9"/>
      <c r="D140" s="43"/>
      <c r="E140" s="3" t="s">
        <v>14</v>
      </c>
      <c r="F140" s="3"/>
      <c r="I140"/>
      <c r="L140" s="3" t="s">
        <v>210</v>
      </c>
    </row>
    <row r="160" ht="20.25">
      <c r="C160" s="1" t="s">
        <v>276</v>
      </c>
    </row>
    <row r="161" spans="4:6" ht="14.25" customHeight="1">
      <c r="D161" s="1"/>
      <c r="E161" s="11"/>
      <c r="F161" s="11"/>
    </row>
    <row r="162" spans="1:15" ht="26.25" customHeight="1">
      <c r="A162" s="4" t="s">
        <v>0</v>
      </c>
      <c r="B162" s="4" t="s">
        <v>5</v>
      </c>
      <c r="C162" s="4" t="s">
        <v>1</v>
      </c>
      <c r="D162" s="4" t="s">
        <v>2</v>
      </c>
      <c r="E162" s="5" t="s">
        <v>53</v>
      </c>
      <c r="F162" s="4" t="s">
        <v>149</v>
      </c>
      <c r="G162" s="4" t="s">
        <v>3</v>
      </c>
      <c r="H162" s="4" t="s">
        <v>4</v>
      </c>
      <c r="I162" s="4" t="s">
        <v>150</v>
      </c>
      <c r="J162" s="6" t="s">
        <v>151</v>
      </c>
      <c r="K162" s="7" t="s">
        <v>152</v>
      </c>
      <c r="L162" s="8" t="s">
        <v>51</v>
      </c>
      <c r="M162" s="8" t="s">
        <v>50</v>
      </c>
      <c r="N162" s="4" t="s">
        <v>61</v>
      </c>
      <c r="O162" s="4" t="s">
        <v>52</v>
      </c>
    </row>
    <row r="163" spans="1:15" ht="14.25">
      <c r="A163" s="37">
        <v>1</v>
      </c>
      <c r="B163" s="38" t="s">
        <v>103</v>
      </c>
      <c r="C163" s="38" t="s">
        <v>277</v>
      </c>
      <c r="D163" s="38" t="s">
        <v>278</v>
      </c>
      <c r="E163" s="14" t="s">
        <v>279</v>
      </c>
      <c r="F163" s="14"/>
      <c r="G163" s="37">
        <v>4</v>
      </c>
      <c r="H163" s="37">
        <v>16</v>
      </c>
      <c r="I163" s="14">
        <v>1</v>
      </c>
      <c r="J163" s="14">
        <v>1</v>
      </c>
      <c r="K163" s="14">
        <v>1</v>
      </c>
      <c r="L163" s="12">
        <f>G163*H163*I163*J163*K163</f>
        <v>64</v>
      </c>
      <c r="M163" s="14">
        <v>0.9</v>
      </c>
      <c r="N163" s="14">
        <f>L163*M163</f>
        <v>57.6</v>
      </c>
      <c r="O163" s="13"/>
    </row>
    <row r="164" spans="1:15" ht="14.25">
      <c r="A164" s="125" t="s">
        <v>207</v>
      </c>
      <c r="B164" s="125"/>
      <c r="C164" s="125"/>
      <c r="D164" s="40"/>
      <c r="E164" s="42"/>
      <c r="F164" s="42"/>
      <c r="G164" s="40"/>
      <c r="H164" s="40"/>
      <c r="I164" s="42"/>
      <c r="J164" s="42"/>
      <c r="K164" s="42"/>
      <c r="L164" s="12">
        <f>SUM(L163)</f>
        <v>64</v>
      </c>
      <c r="M164" s="12"/>
      <c r="N164" s="12">
        <f>SUM(N163)</f>
        <v>57.6</v>
      </c>
      <c r="O164" s="40"/>
    </row>
    <row r="166" spans="1:12" ht="14.25">
      <c r="A166" s="9" t="s">
        <v>209</v>
      </c>
      <c r="B166" s="9"/>
      <c r="C166" s="9"/>
      <c r="D166" s="43"/>
      <c r="E166" s="3" t="s">
        <v>14</v>
      </c>
      <c r="F166" s="3"/>
      <c r="I166"/>
      <c r="L166" s="3" t="s">
        <v>210</v>
      </c>
    </row>
    <row r="192" ht="20.25">
      <c r="C192" s="1" t="s">
        <v>280</v>
      </c>
    </row>
    <row r="193" spans="4:6" ht="14.25" customHeight="1">
      <c r="D193" s="1"/>
      <c r="E193" s="11"/>
      <c r="F193" s="11"/>
    </row>
    <row r="194" spans="1:15" ht="26.25" customHeight="1">
      <c r="A194" s="4" t="s">
        <v>0</v>
      </c>
      <c r="B194" s="4" t="s">
        <v>5</v>
      </c>
      <c r="C194" s="4" t="s">
        <v>1</v>
      </c>
      <c r="D194" s="4" t="s">
        <v>2</v>
      </c>
      <c r="E194" s="5" t="s">
        <v>53</v>
      </c>
      <c r="F194" s="4" t="s">
        <v>149</v>
      </c>
      <c r="G194" s="4" t="s">
        <v>3</v>
      </c>
      <c r="H194" s="4" t="s">
        <v>4</v>
      </c>
      <c r="I194" s="4" t="s">
        <v>150</v>
      </c>
      <c r="J194" s="6" t="s">
        <v>151</v>
      </c>
      <c r="K194" s="7" t="s">
        <v>152</v>
      </c>
      <c r="L194" s="8" t="s">
        <v>51</v>
      </c>
      <c r="M194" s="8" t="s">
        <v>50</v>
      </c>
      <c r="N194" s="4" t="s">
        <v>61</v>
      </c>
      <c r="O194" s="4" t="s">
        <v>52</v>
      </c>
    </row>
    <row r="195" spans="1:15" s="9" customFormat="1" ht="15">
      <c r="A195" s="44">
        <v>1</v>
      </c>
      <c r="B195" s="2" t="s">
        <v>55</v>
      </c>
      <c r="C195" s="2" t="s">
        <v>281</v>
      </c>
      <c r="D195" s="2" t="s">
        <v>286</v>
      </c>
      <c r="E195" s="12" t="s">
        <v>279</v>
      </c>
      <c r="F195" s="12">
        <v>97</v>
      </c>
      <c r="G195" s="12">
        <v>4</v>
      </c>
      <c r="H195" s="12">
        <v>15</v>
      </c>
      <c r="I195" s="12">
        <v>1.57</v>
      </c>
      <c r="J195" s="12">
        <v>1</v>
      </c>
      <c r="K195" s="12">
        <v>1</v>
      </c>
      <c r="L195" s="12">
        <f aca="true" t="shared" si="10" ref="L195:L200">G195*H195*I195*J195*K195</f>
        <v>94.2</v>
      </c>
      <c r="M195" s="12">
        <v>1.2</v>
      </c>
      <c r="N195" s="12">
        <f aca="true" t="shared" si="11" ref="N195:N200">L195*M195</f>
        <v>113.04</v>
      </c>
      <c r="O195" s="46" t="s">
        <v>291</v>
      </c>
    </row>
    <row r="196" spans="1:15" s="9" customFormat="1" ht="15">
      <c r="A196" s="44">
        <v>2</v>
      </c>
      <c r="B196" s="2" t="s">
        <v>55</v>
      </c>
      <c r="C196" s="2" t="s">
        <v>282</v>
      </c>
      <c r="D196" s="2" t="s">
        <v>287</v>
      </c>
      <c r="E196" s="12" t="s">
        <v>279</v>
      </c>
      <c r="F196" s="12">
        <v>79</v>
      </c>
      <c r="G196" s="12">
        <v>3</v>
      </c>
      <c r="H196" s="12">
        <v>14</v>
      </c>
      <c r="I196" s="12">
        <v>1.5</v>
      </c>
      <c r="J196" s="12">
        <v>1</v>
      </c>
      <c r="K196" s="12">
        <v>0.8</v>
      </c>
      <c r="L196" s="12">
        <f t="shared" si="10"/>
        <v>50.400000000000006</v>
      </c>
      <c r="M196" s="12">
        <v>1.2</v>
      </c>
      <c r="N196" s="12">
        <f t="shared" si="11"/>
        <v>60.480000000000004</v>
      </c>
      <c r="O196" s="45"/>
    </row>
    <row r="197" spans="1:15" s="9" customFormat="1" ht="15">
      <c r="A197" s="44">
        <v>3</v>
      </c>
      <c r="B197" s="2" t="s">
        <v>37</v>
      </c>
      <c r="C197" s="2" t="s">
        <v>282</v>
      </c>
      <c r="D197" s="2" t="s">
        <v>259</v>
      </c>
      <c r="E197" s="12" t="s">
        <v>279</v>
      </c>
      <c r="F197" s="12">
        <v>79</v>
      </c>
      <c r="G197" s="12">
        <v>3</v>
      </c>
      <c r="H197" s="12">
        <v>15</v>
      </c>
      <c r="I197" s="12">
        <v>1.5</v>
      </c>
      <c r="J197" s="12">
        <v>1</v>
      </c>
      <c r="K197" s="12">
        <v>1</v>
      </c>
      <c r="L197" s="12">
        <f t="shared" si="10"/>
        <v>67.5</v>
      </c>
      <c r="M197" s="12">
        <v>1.05</v>
      </c>
      <c r="N197" s="53">
        <f t="shared" si="11"/>
        <v>70.875</v>
      </c>
      <c r="O197" s="45"/>
    </row>
    <row r="198" spans="1:15" s="9" customFormat="1" ht="15">
      <c r="A198" s="44">
        <v>4</v>
      </c>
      <c r="B198" s="2" t="s">
        <v>284</v>
      </c>
      <c r="C198" s="2" t="s">
        <v>283</v>
      </c>
      <c r="D198" s="2" t="s">
        <v>259</v>
      </c>
      <c r="E198" s="12" t="s">
        <v>279</v>
      </c>
      <c r="F198" s="12">
        <v>79</v>
      </c>
      <c r="G198" s="12">
        <v>4</v>
      </c>
      <c r="H198" s="12">
        <v>10</v>
      </c>
      <c r="I198" s="12">
        <v>1.5</v>
      </c>
      <c r="J198" s="12">
        <v>1</v>
      </c>
      <c r="K198" s="12">
        <v>1</v>
      </c>
      <c r="L198" s="12">
        <f t="shared" si="10"/>
        <v>60</v>
      </c>
      <c r="M198" s="12">
        <v>1.4</v>
      </c>
      <c r="N198" s="12">
        <f t="shared" si="11"/>
        <v>84</v>
      </c>
      <c r="O198" s="45"/>
    </row>
    <row r="199" spans="1:15" s="9" customFormat="1" ht="15">
      <c r="A199" s="44">
        <v>5</v>
      </c>
      <c r="B199" s="2" t="s">
        <v>285</v>
      </c>
      <c r="C199" s="2" t="s">
        <v>282</v>
      </c>
      <c r="D199" s="2" t="s">
        <v>238</v>
      </c>
      <c r="E199" s="12" t="s">
        <v>279</v>
      </c>
      <c r="F199" s="12">
        <v>90</v>
      </c>
      <c r="G199" s="12">
        <v>3</v>
      </c>
      <c r="H199" s="12">
        <v>15</v>
      </c>
      <c r="I199" s="12">
        <v>1.5</v>
      </c>
      <c r="J199" s="12">
        <v>1</v>
      </c>
      <c r="K199" s="12">
        <v>1</v>
      </c>
      <c r="L199" s="12">
        <f t="shared" si="10"/>
        <v>67.5</v>
      </c>
      <c r="M199" s="12">
        <v>1.2</v>
      </c>
      <c r="N199" s="12">
        <f t="shared" si="11"/>
        <v>81</v>
      </c>
      <c r="O199" s="45"/>
    </row>
    <row r="200" spans="1:15" s="9" customFormat="1" ht="15">
      <c r="A200" s="44">
        <v>6</v>
      </c>
      <c r="B200" s="2" t="s">
        <v>36</v>
      </c>
      <c r="C200" s="2" t="s">
        <v>289</v>
      </c>
      <c r="D200" s="2" t="s">
        <v>288</v>
      </c>
      <c r="E200" s="12" t="s">
        <v>279</v>
      </c>
      <c r="F200" s="12">
        <v>75</v>
      </c>
      <c r="G200" s="12">
        <v>5</v>
      </c>
      <c r="H200" s="12">
        <v>14</v>
      </c>
      <c r="I200" s="12">
        <v>1.5</v>
      </c>
      <c r="J200" s="12">
        <v>1</v>
      </c>
      <c r="K200" s="12">
        <v>1</v>
      </c>
      <c r="L200" s="12">
        <f t="shared" si="10"/>
        <v>105</v>
      </c>
      <c r="M200" s="12">
        <v>0.9</v>
      </c>
      <c r="N200" s="12">
        <f t="shared" si="11"/>
        <v>94.5</v>
      </c>
      <c r="O200" s="48" t="s">
        <v>290</v>
      </c>
    </row>
    <row r="201" spans="1:15" ht="14.25">
      <c r="A201" s="125" t="s">
        <v>207</v>
      </c>
      <c r="B201" s="125"/>
      <c r="C201" s="125"/>
      <c r="D201" s="40"/>
      <c r="E201" s="42"/>
      <c r="F201" s="42"/>
      <c r="G201" s="40"/>
      <c r="H201" s="40"/>
      <c r="I201" s="42"/>
      <c r="J201" s="42"/>
      <c r="K201" s="42"/>
      <c r="L201" s="12">
        <f>SUM(L195:L200)</f>
        <v>444.6</v>
      </c>
      <c r="M201" s="12"/>
      <c r="N201" s="53">
        <f>SUM(N195:N200)</f>
        <v>503.895</v>
      </c>
      <c r="O201" s="40"/>
    </row>
    <row r="203" spans="1:12" ht="14.25">
      <c r="A203" s="9" t="s">
        <v>209</v>
      </c>
      <c r="B203" s="9"/>
      <c r="C203" s="9"/>
      <c r="D203" s="43"/>
      <c r="E203" s="3" t="s">
        <v>14</v>
      </c>
      <c r="F203" s="3"/>
      <c r="I203"/>
      <c r="L203" s="3" t="s">
        <v>210</v>
      </c>
    </row>
    <row r="223" ht="20.25">
      <c r="C223" s="1" t="s">
        <v>293</v>
      </c>
    </row>
    <row r="224" spans="4:6" ht="14.25" customHeight="1">
      <c r="D224" s="1"/>
      <c r="E224" s="11"/>
      <c r="F224" s="11"/>
    </row>
    <row r="225" spans="1:15" ht="26.25" customHeight="1">
      <c r="A225" s="4" t="s">
        <v>0</v>
      </c>
      <c r="B225" s="4" t="s">
        <v>5</v>
      </c>
      <c r="C225" s="4" t="s">
        <v>1</v>
      </c>
      <c r="D225" s="4" t="s">
        <v>2</v>
      </c>
      <c r="E225" s="5" t="s">
        <v>53</v>
      </c>
      <c r="F225" s="4" t="s">
        <v>149</v>
      </c>
      <c r="G225" s="4" t="s">
        <v>3</v>
      </c>
      <c r="H225" s="4" t="s">
        <v>4</v>
      </c>
      <c r="I225" s="4" t="s">
        <v>150</v>
      </c>
      <c r="J225" s="6" t="s">
        <v>151</v>
      </c>
      <c r="K225" s="7" t="s">
        <v>152</v>
      </c>
      <c r="L225" s="8" t="s">
        <v>51</v>
      </c>
      <c r="M225" s="8" t="s">
        <v>50</v>
      </c>
      <c r="N225" s="4" t="s">
        <v>61</v>
      </c>
      <c r="O225" s="4" t="s">
        <v>52</v>
      </c>
    </row>
    <row r="226" spans="1:15" s="9" customFormat="1" ht="15">
      <c r="A226" s="44">
        <v>1</v>
      </c>
      <c r="B226" s="2" t="s">
        <v>39</v>
      </c>
      <c r="C226" s="2" t="s">
        <v>294</v>
      </c>
      <c r="D226" s="2" t="s">
        <v>272</v>
      </c>
      <c r="E226" s="12" t="s">
        <v>279</v>
      </c>
      <c r="F226" s="12">
        <v>71</v>
      </c>
      <c r="G226" s="2">
        <v>4</v>
      </c>
      <c r="H226" s="2">
        <v>18</v>
      </c>
      <c r="I226" s="12">
        <v>1.5</v>
      </c>
      <c r="J226" s="12">
        <v>1</v>
      </c>
      <c r="K226" s="12">
        <v>1</v>
      </c>
      <c r="L226" s="12">
        <f aca="true" t="shared" si="12" ref="L226:L233">G226*H226*I226*J226*K226</f>
        <v>108</v>
      </c>
      <c r="M226" s="12">
        <v>1.2</v>
      </c>
      <c r="N226" s="51">
        <f>L226*M226</f>
        <v>129.6</v>
      </c>
      <c r="O226" s="12"/>
    </row>
    <row r="227" spans="1:15" s="9" customFormat="1" ht="15">
      <c r="A227" s="44">
        <v>2</v>
      </c>
      <c r="B227" s="2" t="s">
        <v>39</v>
      </c>
      <c r="C227" s="2" t="s">
        <v>294</v>
      </c>
      <c r="D227" s="2" t="s">
        <v>298</v>
      </c>
      <c r="E227" s="12" t="s">
        <v>279</v>
      </c>
      <c r="F227" s="12">
        <v>36</v>
      </c>
      <c r="G227" s="2">
        <v>3</v>
      </c>
      <c r="H227" s="2">
        <v>16</v>
      </c>
      <c r="I227" s="12">
        <v>1</v>
      </c>
      <c r="J227" s="12">
        <v>1</v>
      </c>
      <c r="K227" s="12">
        <v>0.8</v>
      </c>
      <c r="L227" s="12">
        <f t="shared" si="12"/>
        <v>38.400000000000006</v>
      </c>
      <c r="M227" s="12">
        <v>1.2</v>
      </c>
      <c r="N227" s="51">
        <f aca="true" t="shared" si="13" ref="N227:N233">L227*M227</f>
        <v>46.080000000000005</v>
      </c>
      <c r="O227" s="12"/>
    </row>
    <row r="228" spans="1:15" s="9" customFormat="1" ht="15">
      <c r="A228" s="44">
        <v>3</v>
      </c>
      <c r="B228" s="2" t="s">
        <v>67</v>
      </c>
      <c r="C228" s="2" t="s">
        <v>294</v>
      </c>
      <c r="D228" s="2" t="s">
        <v>299</v>
      </c>
      <c r="E228" s="12" t="s">
        <v>279</v>
      </c>
      <c r="F228" s="12">
        <v>74</v>
      </c>
      <c r="G228" s="2">
        <v>3</v>
      </c>
      <c r="H228" s="2">
        <v>17</v>
      </c>
      <c r="I228" s="12">
        <v>1.5</v>
      </c>
      <c r="J228" s="12">
        <v>1</v>
      </c>
      <c r="K228" s="12">
        <v>1</v>
      </c>
      <c r="L228" s="12">
        <f t="shared" si="12"/>
        <v>76.5</v>
      </c>
      <c r="M228" s="12">
        <v>1.2</v>
      </c>
      <c r="N228" s="51">
        <f t="shared" si="13"/>
        <v>91.8</v>
      </c>
      <c r="O228" s="12"/>
    </row>
    <row r="229" spans="1:15" s="9" customFormat="1" ht="14.25" customHeight="1">
      <c r="A229" s="44">
        <v>4</v>
      </c>
      <c r="B229" s="2" t="s">
        <v>69</v>
      </c>
      <c r="C229" s="2" t="s">
        <v>295</v>
      </c>
      <c r="D229" s="2" t="s">
        <v>300</v>
      </c>
      <c r="E229" s="12" t="s">
        <v>279</v>
      </c>
      <c r="F229" s="12">
        <v>40</v>
      </c>
      <c r="G229" s="2">
        <v>5</v>
      </c>
      <c r="H229" s="2">
        <v>14</v>
      </c>
      <c r="I229" s="12">
        <v>1</v>
      </c>
      <c r="J229" s="12">
        <v>1</v>
      </c>
      <c r="K229" s="12">
        <v>1</v>
      </c>
      <c r="L229" s="12">
        <f t="shared" si="12"/>
        <v>70</v>
      </c>
      <c r="M229" s="12">
        <v>1.2</v>
      </c>
      <c r="N229" s="51">
        <f t="shared" si="13"/>
        <v>84</v>
      </c>
      <c r="O229" s="12"/>
    </row>
    <row r="230" spans="1:15" s="9" customFormat="1" ht="14.25" customHeight="1">
      <c r="A230" s="44">
        <v>5</v>
      </c>
      <c r="B230" s="2" t="s">
        <v>38</v>
      </c>
      <c r="C230" s="2" t="s">
        <v>295</v>
      </c>
      <c r="D230" s="2" t="s">
        <v>301</v>
      </c>
      <c r="E230" s="12" t="s">
        <v>279</v>
      </c>
      <c r="F230" s="12">
        <v>67</v>
      </c>
      <c r="G230" s="2">
        <v>5</v>
      </c>
      <c r="H230" s="2">
        <v>14</v>
      </c>
      <c r="I230" s="12">
        <v>1.5</v>
      </c>
      <c r="J230" s="12">
        <v>1</v>
      </c>
      <c r="K230" s="12">
        <v>1</v>
      </c>
      <c r="L230" s="12">
        <f t="shared" si="12"/>
        <v>105</v>
      </c>
      <c r="M230" s="12">
        <v>1.05</v>
      </c>
      <c r="N230" s="51">
        <f t="shared" si="13"/>
        <v>110.25</v>
      </c>
      <c r="O230" s="12"/>
    </row>
    <row r="231" spans="1:15" s="9" customFormat="1" ht="30" customHeight="1">
      <c r="A231" s="49">
        <v>6</v>
      </c>
      <c r="B231" s="50" t="s">
        <v>60</v>
      </c>
      <c r="C231" s="50" t="s">
        <v>296</v>
      </c>
      <c r="D231" s="50" t="s">
        <v>302</v>
      </c>
      <c r="E231" s="51" t="s">
        <v>279</v>
      </c>
      <c r="F231" s="50">
        <v>96</v>
      </c>
      <c r="G231" s="50">
        <v>5</v>
      </c>
      <c r="H231" s="50">
        <v>14</v>
      </c>
      <c r="I231" s="50">
        <v>1.7</v>
      </c>
      <c r="J231" s="51">
        <v>1</v>
      </c>
      <c r="K231" s="51">
        <v>1</v>
      </c>
      <c r="L231" s="51">
        <f t="shared" si="12"/>
        <v>119</v>
      </c>
      <c r="M231" s="51">
        <v>1.05</v>
      </c>
      <c r="N231" s="51">
        <f t="shared" si="13"/>
        <v>124.95</v>
      </c>
      <c r="O231" s="50"/>
    </row>
    <row r="232" spans="1:15" s="9" customFormat="1" ht="30" customHeight="1">
      <c r="A232" s="49">
        <v>7</v>
      </c>
      <c r="B232" s="50" t="s">
        <v>70</v>
      </c>
      <c r="C232" s="50" t="s">
        <v>296</v>
      </c>
      <c r="D232" s="50" t="s">
        <v>303</v>
      </c>
      <c r="E232" s="51" t="s">
        <v>279</v>
      </c>
      <c r="F232" s="50">
        <v>112</v>
      </c>
      <c r="G232" s="50">
        <v>5</v>
      </c>
      <c r="H232" s="50">
        <v>14</v>
      </c>
      <c r="I232" s="50">
        <v>1.7</v>
      </c>
      <c r="J232" s="51">
        <v>1</v>
      </c>
      <c r="K232" s="51">
        <v>1</v>
      </c>
      <c r="L232" s="51">
        <f t="shared" si="12"/>
        <v>119</v>
      </c>
      <c r="M232" s="51">
        <v>1.05</v>
      </c>
      <c r="N232" s="51">
        <f t="shared" si="13"/>
        <v>124.95</v>
      </c>
      <c r="O232" s="50"/>
    </row>
    <row r="233" spans="1:15" s="9" customFormat="1" ht="15">
      <c r="A233" s="44">
        <v>8</v>
      </c>
      <c r="B233" s="2" t="s">
        <v>45</v>
      </c>
      <c r="C233" s="2" t="s">
        <v>297</v>
      </c>
      <c r="D233" s="2" t="s">
        <v>304</v>
      </c>
      <c r="E233" s="12" t="s">
        <v>279</v>
      </c>
      <c r="F233" s="12"/>
      <c r="G233" s="2">
        <v>3</v>
      </c>
      <c r="H233" s="2">
        <v>14</v>
      </c>
      <c r="I233" s="12">
        <v>1</v>
      </c>
      <c r="J233" s="12">
        <v>1</v>
      </c>
      <c r="K233" s="12">
        <v>1</v>
      </c>
      <c r="L233" s="12">
        <f t="shared" si="12"/>
        <v>42</v>
      </c>
      <c r="M233" s="12">
        <v>1.2</v>
      </c>
      <c r="N233" s="51">
        <f t="shared" si="13"/>
        <v>50.4</v>
      </c>
      <c r="O233" s="12"/>
    </row>
    <row r="234" spans="1:15" ht="14.25">
      <c r="A234" s="125" t="s">
        <v>207</v>
      </c>
      <c r="B234" s="125"/>
      <c r="C234" s="125"/>
      <c r="D234" s="40"/>
      <c r="E234" s="42"/>
      <c r="F234" s="42"/>
      <c r="G234" s="40"/>
      <c r="H234" s="40"/>
      <c r="I234" s="42"/>
      <c r="J234" s="42"/>
      <c r="K234" s="42"/>
      <c r="L234" s="12">
        <f>SUM(L226:L233)</f>
        <v>677.9</v>
      </c>
      <c r="M234" s="12"/>
      <c r="N234" s="53">
        <f>SUM(N226:N233)</f>
        <v>762.0300000000001</v>
      </c>
      <c r="O234" s="40"/>
    </row>
    <row r="236" spans="1:12" ht="14.25">
      <c r="A236" s="9" t="s">
        <v>209</v>
      </c>
      <c r="B236" s="9"/>
      <c r="C236" s="9"/>
      <c r="D236" s="43"/>
      <c r="E236" s="3" t="s">
        <v>14</v>
      </c>
      <c r="F236" s="3"/>
      <c r="I236"/>
      <c r="L236" s="3" t="s">
        <v>210</v>
      </c>
    </row>
    <row r="252" ht="20.25">
      <c r="C252" s="1" t="s">
        <v>314</v>
      </c>
    </row>
    <row r="253" spans="4:6" ht="14.25" customHeight="1">
      <c r="D253" s="1"/>
      <c r="E253" s="11"/>
      <c r="F253" s="11"/>
    </row>
    <row r="254" spans="1:15" ht="26.25" customHeight="1">
      <c r="A254" s="4" t="s">
        <v>0</v>
      </c>
      <c r="B254" s="4" t="s">
        <v>5</v>
      </c>
      <c r="C254" s="4" t="s">
        <v>1</v>
      </c>
      <c r="D254" s="4" t="s">
        <v>2</v>
      </c>
      <c r="E254" s="5" t="s">
        <v>53</v>
      </c>
      <c r="F254" s="4" t="s">
        <v>149</v>
      </c>
      <c r="G254" s="4" t="s">
        <v>3</v>
      </c>
      <c r="H254" s="4" t="s">
        <v>4</v>
      </c>
      <c r="I254" s="4" t="s">
        <v>150</v>
      </c>
      <c r="J254" s="6" t="s">
        <v>151</v>
      </c>
      <c r="K254" s="7" t="s">
        <v>152</v>
      </c>
      <c r="L254" s="8" t="s">
        <v>51</v>
      </c>
      <c r="M254" s="8" t="s">
        <v>50</v>
      </c>
      <c r="N254" s="4" t="s">
        <v>61</v>
      </c>
      <c r="O254" s="4" t="s">
        <v>52</v>
      </c>
    </row>
    <row r="255" spans="1:15" s="9" customFormat="1" ht="15">
      <c r="A255" s="44">
        <v>1</v>
      </c>
      <c r="B255" s="2" t="s">
        <v>42</v>
      </c>
      <c r="C255" s="2" t="s">
        <v>305</v>
      </c>
      <c r="D255" s="2" t="s">
        <v>259</v>
      </c>
      <c r="E255" s="12" t="s">
        <v>203</v>
      </c>
      <c r="F255" s="12">
        <v>79</v>
      </c>
      <c r="G255" s="12">
        <v>4</v>
      </c>
      <c r="H255" s="12">
        <v>13</v>
      </c>
      <c r="I255" s="12">
        <v>1.5</v>
      </c>
      <c r="J255" s="12">
        <v>1</v>
      </c>
      <c r="K255" s="12">
        <v>1</v>
      </c>
      <c r="L255" s="12">
        <f>G255*H255*I255*J255*K255</f>
        <v>78</v>
      </c>
      <c r="M255" s="12">
        <v>1.2</v>
      </c>
      <c r="N255" s="12">
        <f>L255*M255</f>
        <v>93.6</v>
      </c>
      <c r="O255" s="45"/>
    </row>
    <row r="256" spans="1:15" s="9" customFormat="1" ht="15">
      <c r="A256" s="44">
        <v>2</v>
      </c>
      <c r="B256" s="2" t="s">
        <v>42</v>
      </c>
      <c r="C256" s="2" t="s">
        <v>305</v>
      </c>
      <c r="D256" s="2" t="s">
        <v>286</v>
      </c>
      <c r="E256" s="12" t="s">
        <v>203</v>
      </c>
      <c r="F256" s="12">
        <v>97</v>
      </c>
      <c r="G256" s="12">
        <v>3</v>
      </c>
      <c r="H256" s="12">
        <v>16</v>
      </c>
      <c r="I256" s="12">
        <v>1.57</v>
      </c>
      <c r="J256" s="12">
        <v>1</v>
      </c>
      <c r="K256" s="12">
        <v>0.8</v>
      </c>
      <c r="L256" s="53">
        <f>G256*H256*I256*J256*K256</f>
        <v>60.288000000000004</v>
      </c>
      <c r="M256" s="12">
        <v>1.2</v>
      </c>
      <c r="N256" s="53">
        <f aca="true" t="shared" si="14" ref="N256:N266">L256*M256</f>
        <v>72.3456</v>
      </c>
      <c r="O256" s="45"/>
    </row>
    <row r="257" spans="1:15" s="9" customFormat="1" ht="14.25" customHeight="1">
      <c r="A257" s="119">
        <v>3</v>
      </c>
      <c r="B257" s="2" t="s">
        <v>42</v>
      </c>
      <c r="C257" s="119" t="s">
        <v>321</v>
      </c>
      <c r="D257" s="119" t="s">
        <v>238</v>
      </c>
      <c r="E257" s="12" t="s">
        <v>203</v>
      </c>
      <c r="F257" s="119">
        <v>90</v>
      </c>
      <c r="G257" s="12">
        <v>4</v>
      </c>
      <c r="H257" s="12"/>
      <c r="I257" s="12">
        <v>1.5</v>
      </c>
      <c r="J257" s="12">
        <v>1</v>
      </c>
      <c r="K257" s="12">
        <v>0.8</v>
      </c>
      <c r="L257" s="53">
        <f>G257*I257*J257*K257</f>
        <v>4.800000000000001</v>
      </c>
      <c r="M257" s="12">
        <v>1.2</v>
      </c>
      <c r="N257" s="53">
        <f t="shared" si="14"/>
        <v>5.760000000000001</v>
      </c>
      <c r="O257" s="45"/>
    </row>
    <row r="258" spans="1:15" s="9" customFormat="1" ht="13.5" customHeight="1">
      <c r="A258" s="126"/>
      <c r="B258" s="2" t="s">
        <v>44</v>
      </c>
      <c r="C258" s="126"/>
      <c r="D258" s="126"/>
      <c r="E258" s="12" t="s">
        <v>203</v>
      </c>
      <c r="F258" s="126"/>
      <c r="G258" s="12">
        <v>44</v>
      </c>
      <c r="H258" s="12"/>
      <c r="I258" s="12">
        <v>1.5</v>
      </c>
      <c r="J258" s="12">
        <v>1</v>
      </c>
      <c r="K258" s="12">
        <v>1</v>
      </c>
      <c r="L258" s="53">
        <f>G258*I258*J258*K258</f>
        <v>66</v>
      </c>
      <c r="M258" s="12">
        <v>1.2</v>
      </c>
      <c r="N258" s="53">
        <f t="shared" si="14"/>
        <v>79.2</v>
      </c>
      <c r="O258" s="45"/>
    </row>
    <row r="259" spans="1:15" s="9" customFormat="1" ht="14.25" customHeight="1">
      <c r="A259" s="119">
        <v>4</v>
      </c>
      <c r="B259" s="2" t="s">
        <v>42</v>
      </c>
      <c r="C259" s="119" t="s">
        <v>322</v>
      </c>
      <c r="D259" s="119" t="s">
        <v>287</v>
      </c>
      <c r="E259" s="12" t="s">
        <v>203</v>
      </c>
      <c r="F259" s="119">
        <v>79</v>
      </c>
      <c r="G259" s="12">
        <v>4</v>
      </c>
      <c r="H259" s="12"/>
      <c r="I259" s="12">
        <v>1.5</v>
      </c>
      <c r="J259" s="12">
        <v>1</v>
      </c>
      <c r="K259" s="12">
        <v>0.8</v>
      </c>
      <c r="L259" s="53">
        <f>G259*I259*J259*K259</f>
        <v>4.800000000000001</v>
      </c>
      <c r="M259" s="12">
        <v>1.2</v>
      </c>
      <c r="N259" s="53">
        <f t="shared" si="14"/>
        <v>5.760000000000001</v>
      </c>
      <c r="O259" s="45"/>
    </row>
    <row r="260" spans="1:15" s="9" customFormat="1" ht="13.5" customHeight="1">
      <c r="A260" s="120"/>
      <c r="B260" s="2" t="s">
        <v>44</v>
      </c>
      <c r="C260" s="126"/>
      <c r="D260" s="126"/>
      <c r="E260" s="12" t="s">
        <v>203</v>
      </c>
      <c r="F260" s="126"/>
      <c r="G260" s="12">
        <v>41</v>
      </c>
      <c r="H260" s="12"/>
      <c r="I260" s="12">
        <v>1.5</v>
      </c>
      <c r="J260" s="12">
        <v>1</v>
      </c>
      <c r="K260" s="12">
        <v>0.8</v>
      </c>
      <c r="L260" s="53">
        <f>G260*I260*J260*K260</f>
        <v>49.2</v>
      </c>
      <c r="M260" s="12">
        <v>1.2</v>
      </c>
      <c r="N260" s="12">
        <f t="shared" si="14"/>
        <v>59.04</v>
      </c>
      <c r="O260" s="45"/>
    </row>
    <row r="261" spans="1:15" ht="15">
      <c r="A261" s="37">
        <v>5</v>
      </c>
      <c r="B261" s="2" t="s">
        <v>44</v>
      </c>
      <c r="C261" s="52" t="s">
        <v>308</v>
      </c>
      <c r="D261" s="2" t="s">
        <v>298</v>
      </c>
      <c r="E261" s="12" t="s">
        <v>203</v>
      </c>
      <c r="F261" s="12">
        <v>36</v>
      </c>
      <c r="G261" s="12">
        <v>4</v>
      </c>
      <c r="H261" s="12">
        <v>12</v>
      </c>
      <c r="I261" s="12">
        <v>1</v>
      </c>
      <c r="J261" s="12">
        <v>1</v>
      </c>
      <c r="K261" s="12">
        <v>1</v>
      </c>
      <c r="L261" s="12">
        <f aca="true" t="shared" si="15" ref="L261:L266">G261*H261*I261*J261*K261</f>
        <v>48</v>
      </c>
      <c r="M261" s="12">
        <v>1.2</v>
      </c>
      <c r="N261" s="12">
        <f t="shared" si="14"/>
        <v>57.599999999999994</v>
      </c>
      <c r="O261" s="48" t="s">
        <v>313</v>
      </c>
    </row>
    <row r="262" spans="1:15" ht="15">
      <c r="A262" s="44">
        <v>6</v>
      </c>
      <c r="B262" s="2" t="s">
        <v>43</v>
      </c>
      <c r="C262" s="2" t="s">
        <v>306</v>
      </c>
      <c r="D262" s="2" t="s">
        <v>309</v>
      </c>
      <c r="E262" s="12" t="s">
        <v>203</v>
      </c>
      <c r="F262" s="12">
        <v>86</v>
      </c>
      <c r="G262" s="12">
        <v>4</v>
      </c>
      <c r="H262" s="12">
        <v>15</v>
      </c>
      <c r="I262" s="12">
        <v>1.5</v>
      </c>
      <c r="J262" s="12">
        <v>1</v>
      </c>
      <c r="K262" s="12">
        <v>1</v>
      </c>
      <c r="L262" s="12">
        <f t="shared" si="15"/>
        <v>90</v>
      </c>
      <c r="M262" s="12">
        <v>1.2</v>
      </c>
      <c r="N262" s="12">
        <f t="shared" si="14"/>
        <v>108</v>
      </c>
      <c r="O262" s="45"/>
    </row>
    <row r="263" spans="1:15" ht="15">
      <c r="A263" s="44">
        <v>7</v>
      </c>
      <c r="B263" s="2" t="s">
        <v>43</v>
      </c>
      <c r="C263" s="2" t="s">
        <v>306</v>
      </c>
      <c r="D263" s="2" t="s">
        <v>310</v>
      </c>
      <c r="E263" s="12" t="s">
        <v>203</v>
      </c>
      <c r="F263" s="12">
        <v>74</v>
      </c>
      <c r="G263" s="12">
        <v>4</v>
      </c>
      <c r="H263" s="12">
        <v>15</v>
      </c>
      <c r="I263" s="12">
        <v>1.5</v>
      </c>
      <c r="J263" s="12">
        <v>1</v>
      </c>
      <c r="K263" s="12">
        <v>0.8</v>
      </c>
      <c r="L263" s="12">
        <f t="shared" si="15"/>
        <v>72</v>
      </c>
      <c r="M263" s="12">
        <v>1.2</v>
      </c>
      <c r="N263" s="12">
        <f t="shared" si="14"/>
        <v>86.39999999999999</v>
      </c>
      <c r="O263" s="45"/>
    </row>
    <row r="264" spans="1:15" ht="14.25" customHeight="1">
      <c r="A264" s="30">
        <v>8</v>
      </c>
      <c r="B264" s="2" t="s">
        <v>47</v>
      </c>
      <c r="C264" s="2" t="s">
        <v>307</v>
      </c>
      <c r="D264" s="2" t="s">
        <v>312</v>
      </c>
      <c r="E264" s="12" t="s">
        <v>203</v>
      </c>
      <c r="F264" s="12">
        <v>37</v>
      </c>
      <c r="G264" s="12">
        <v>4</v>
      </c>
      <c r="H264" s="12">
        <v>18</v>
      </c>
      <c r="I264" s="12">
        <v>1</v>
      </c>
      <c r="J264" s="12">
        <v>1</v>
      </c>
      <c r="K264" s="12">
        <v>1</v>
      </c>
      <c r="L264" s="12">
        <f t="shared" si="15"/>
        <v>72</v>
      </c>
      <c r="M264" s="12">
        <v>1.05</v>
      </c>
      <c r="N264" s="12">
        <f>L264*M264</f>
        <v>75.60000000000001</v>
      </c>
      <c r="O264" s="45"/>
    </row>
    <row r="265" spans="1:15" ht="14.25">
      <c r="A265" s="119">
        <v>9</v>
      </c>
      <c r="B265" s="2" t="s">
        <v>47</v>
      </c>
      <c r="C265" s="119" t="s">
        <v>307</v>
      </c>
      <c r="D265" s="119" t="s">
        <v>311</v>
      </c>
      <c r="E265" s="12" t="s">
        <v>203</v>
      </c>
      <c r="F265" s="119">
        <v>37</v>
      </c>
      <c r="G265" s="12">
        <v>4</v>
      </c>
      <c r="H265" s="12">
        <v>1</v>
      </c>
      <c r="I265" s="12">
        <v>1</v>
      </c>
      <c r="J265" s="12">
        <v>1</v>
      </c>
      <c r="K265" s="12">
        <v>0.8</v>
      </c>
      <c r="L265" s="12">
        <f t="shared" si="15"/>
        <v>3.2</v>
      </c>
      <c r="M265" s="12">
        <v>1.05</v>
      </c>
      <c r="N265" s="12">
        <f t="shared" si="14"/>
        <v>3.3600000000000003</v>
      </c>
      <c r="O265" s="45"/>
    </row>
    <row r="266" spans="1:15" ht="14.25">
      <c r="A266" s="120"/>
      <c r="B266" s="2" t="s">
        <v>46</v>
      </c>
      <c r="C266" s="120"/>
      <c r="D266" s="120"/>
      <c r="E266" s="12" t="s">
        <v>203</v>
      </c>
      <c r="F266" s="120"/>
      <c r="G266" s="12">
        <v>4</v>
      </c>
      <c r="H266" s="12">
        <v>17</v>
      </c>
      <c r="I266" s="12">
        <v>1</v>
      </c>
      <c r="J266" s="12">
        <v>1</v>
      </c>
      <c r="K266" s="12">
        <v>1</v>
      </c>
      <c r="L266" s="12">
        <f t="shared" si="15"/>
        <v>68</v>
      </c>
      <c r="M266" s="12">
        <v>1.05</v>
      </c>
      <c r="N266" s="12">
        <f t="shared" si="14"/>
        <v>71.4</v>
      </c>
      <c r="O266" s="45"/>
    </row>
    <row r="267" spans="1:15" ht="14.25">
      <c r="A267" s="125" t="s">
        <v>207</v>
      </c>
      <c r="B267" s="125"/>
      <c r="C267" s="125"/>
      <c r="D267" s="40"/>
      <c r="E267" s="42"/>
      <c r="F267" s="42"/>
      <c r="G267" s="40"/>
      <c r="H267" s="40"/>
      <c r="I267" s="42"/>
      <c r="J267" s="42"/>
      <c r="K267" s="42"/>
      <c r="L267" s="59">
        <f>SUM(L255:L266)</f>
        <v>616.288</v>
      </c>
      <c r="M267" s="58"/>
      <c r="N267" s="57">
        <f>SUM(N255:N266)</f>
        <v>718.0656</v>
      </c>
      <c r="O267" s="40"/>
    </row>
    <row r="269" spans="1:12" ht="14.25">
      <c r="A269" s="9" t="s">
        <v>209</v>
      </c>
      <c r="B269" s="9"/>
      <c r="C269" s="9"/>
      <c r="D269" s="43"/>
      <c r="E269" s="3" t="s">
        <v>14</v>
      </c>
      <c r="F269" s="3"/>
      <c r="I269"/>
      <c r="L269" s="3" t="s">
        <v>210</v>
      </c>
    </row>
  </sheetData>
  <mergeCells count="24">
    <mergeCell ref="D259:D260"/>
    <mergeCell ref="F259:F260"/>
    <mergeCell ref="D257:D258"/>
    <mergeCell ref="F257:F258"/>
    <mergeCell ref="A267:C267"/>
    <mergeCell ref="A138:C138"/>
    <mergeCell ref="A164:C164"/>
    <mergeCell ref="A201:C201"/>
    <mergeCell ref="A257:A258"/>
    <mergeCell ref="C257:C258"/>
    <mergeCell ref="A259:A260"/>
    <mergeCell ref="C259:C260"/>
    <mergeCell ref="A265:A266"/>
    <mergeCell ref="C265:C266"/>
    <mergeCell ref="D265:D266"/>
    <mergeCell ref="F265:F266"/>
    <mergeCell ref="A10:A11"/>
    <mergeCell ref="C10:C11"/>
    <mergeCell ref="D10:D11"/>
    <mergeCell ref="A234:C234"/>
    <mergeCell ref="A33:C33"/>
    <mergeCell ref="A51:C51"/>
    <mergeCell ref="A84:C84"/>
    <mergeCell ref="A114:C114"/>
  </mergeCells>
  <printOptions/>
  <pageMargins left="0.5905511811023623" right="0.5905511811023623" top="0.7086614173228347" bottom="0.708661417322834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69"/>
  <sheetViews>
    <sheetView workbookViewId="0" topLeftCell="A253">
      <selection activeCell="M272" sqref="M272"/>
    </sheetView>
  </sheetViews>
  <sheetFormatPr defaultColWidth="9.00390625" defaultRowHeight="14.25"/>
  <cols>
    <col min="1" max="1" width="4.75390625" style="0" customWidth="1"/>
    <col min="2" max="2" width="10.00390625" style="0" customWidth="1"/>
    <col min="3" max="3" width="25.25390625" style="0" customWidth="1"/>
    <col min="4" max="4" width="13.375" style="0" customWidth="1"/>
    <col min="5" max="5" width="5.625" style="10" customWidth="1"/>
    <col min="6" max="6" width="5.75390625" style="10" customWidth="1"/>
    <col min="7" max="7" width="6.00390625" style="0" customWidth="1"/>
    <col min="8" max="8" width="5.875" style="10" customWidth="1"/>
    <col min="9" max="9" width="6.00390625" style="10" customWidth="1"/>
    <col min="10" max="10" width="6.375" style="10" customWidth="1"/>
    <col min="11" max="11" width="8.75390625" style="10" customWidth="1"/>
    <col min="12" max="12" width="5.50390625" style="10" customWidth="1"/>
    <col min="13" max="13" width="10.00390625" style="10" customWidth="1"/>
  </cols>
  <sheetData>
    <row r="1" ht="20.25">
      <c r="C1" s="1" t="s">
        <v>323</v>
      </c>
    </row>
    <row r="2" spans="4:6" ht="18.75" customHeight="1">
      <c r="D2" s="1"/>
      <c r="E2" s="11"/>
      <c r="F2" s="11"/>
    </row>
    <row r="3" spans="1:14" ht="25.5" customHeight="1">
      <c r="A3" s="4" t="s">
        <v>0</v>
      </c>
      <c r="B3" s="4" t="s">
        <v>5</v>
      </c>
      <c r="C3" s="4" t="s">
        <v>1</v>
      </c>
      <c r="D3" s="4" t="s">
        <v>2</v>
      </c>
      <c r="E3" s="5" t="s">
        <v>53</v>
      </c>
      <c r="F3" s="4" t="s">
        <v>149</v>
      </c>
      <c r="G3" s="4" t="s">
        <v>328</v>
      </c>
      <c r="H3" s="4" t="s">
        <v>150</v>
      </c>
      <c r="I3" s="6" t="s">
        <v>151</v>
      </c>
      <c r="J3" s="7" t="s">
        <v>152</v>
      </c>
      <c r="K3" s="8" t="s">
        <v>51</v>
      </c>
      <c r="L3" s="8" t="s">
        <v>50</v>
      </c>
      <c r="M3" s="4" t="s">
        <v>61</v>
      </c>
      <c r="N3" s="4" t="s">
        <v>52</v>
      </c>
    </row>
    <row r="4" spans="1:14" ht="12.75" customHeight="1">
      <c r="A4" s="37">
        <v>1</v>
      </c>
      <c r="B4" s="38" t="s">
        <v>94</v>
      </c>
      <c r="C4" s="38" t="s">
        <v>177</v>
      </c>
      <c r="D4" s="39" t="s">
        <v>178</v>
      </c>
      <c r="E4" s="42" t="s">
        <v>203</v>
      </c>
      <c r="F4" s="42">
        <v>78</v>
      </c>
      <c r="G4" s="42">
        <v>14</v>
      </c>
      <c r="H4" s="42">
        <v>1.5</v>
      </c>
      <c r="I4" s="42">
        <v>1</v>
      </c>
      <c r="J4" s="42">
        <v>1</v>
      </c>
      <c r="K4" s="42">
        <f>G4*H4*I4*J4</f>
        <v>21</v>
      </c>
      <c r="L4" s="42">
        <v>1.2</v>
      </c>
      <c r="M4" s="54">
        <f>K4*L4</f>
        <v>25.2</v>
      </c>
      <c r="N4" s="41" t="s">
        <v>208</v>
      </c>
    </row>
    <row r="5" spans="1:14" ht="12.75" customHeight="1">
      <c r="A5" s="37">
        <v>2</v>
      </c>
      <c r="B5" s="38" t="s">
        <v>94</v>
      </c>
      <c r="C5" s="38" t="s">
        <v>179</v>
      </c>
      <c r="D5" s="39" t="s">
        <v>180</v>
      </c>
      <c r="E5" s="42" t="s">
        <v>203</v>
      </c>
      <c r="F5" s="42">
        <v>76</v>
      </c>
      <c r="G5" s="42">
        <v>30</v>
      </c>
      <c r="H5" s="42">
        <v>1.5</v>
      </c>
      <c r="I5" s="42">
        <v>1</v>
      </c>
      <c r="J5" s="42">
        <v>1</v>
      </c>
      <c r="K5" s="42">
        <f aca="true" t="shared" si="0" ref="K5:K32">G5*H5*I5*J5</f>
        <v>45</v>
      </c>
      <c r="L5" s="42">
        <v>1.2</v>
      </c>
      <c r="M5" s="54">
        <f aca="true" t="shared" si="1" ref="M5:M32">K5*L5</f>
        <v>54</v>
      </c>
      <c r="N5" s="41"/>
    </row>
    <row r="6" spans="1:14" ht="12.75" customHeight="1">
      <c r="A6" s="37">
        <v>3</v>
      </c>
      <c r="B6" s="38" t="s">
        <v>94</v>
      </c>
      <c r="C6" s="38" t="s">
        <v>181</v>
      </c>
      <c r="D6" s="39" t="s">
        <v>180</v>
      </c>
      <c r="E6" s="42" t="s">
        <v>203</v>
      </c>
      <c r="F6" s="42">
        <v>76</v>
      </c>
      <c r="G6" s="42">
        <v>30</v>
      </c>
      <c r="H6" s="42">
        <v>1.5</v>
      </c>
      <c r="I6" s="42">
        <v>1</v>
      </c>
      <c r="J6" s="42">
        <v>1</v>
      </c>
      <c r="K6" s="42">
        <f t="shared" si="0"/>
        <v>45</v>
      </c>
      <c r="L6" s="42">
        <v>1.2</v>
      </c>
      <c r="M6" s="54">
        <f t="shared" si="1"/>
        <v>54</v>
      </c>
      <c r="N6" s="41"/>
    </row>
    <row r="7" spans="1:14" ht="12.75" customHeight="1">
      <c r="A7" s="37">
        <v>4</v>
      </c>
      <c r="B7" s="38" t="s">
        <v>94</v>
      </c>
      <c r="C7" s="38" t="s">
        <v>182</v>
      </c>
      <c r="D7" s="38" t="s">
        <v>183</v>
      </c>
      <c r="E7" s="42" t="s">
        <v>203</v>
      </c>
      <c r="F7" s="42">
        <v>53</v>
      </c>
      <c r="G7" s="42">
        <v>16</v>
      </c>
      <c r="H7" s="42">
        <v>1.08</v>
      </c>
      <c r="I7" s="42">
        <v>1</v>
      </c>
      <c r="J7" s="42">
        <v>1</v>
      </c>
      <c r="K7" s="42">
        <f t="shared" si="0"/>
        <v>17.28</v>
      </c>
      <c r="L7" s="42">
        <v>1.2</v>
      </c>
      <c r="M7" s="54">
        <f t="shared" si="1"/>
        <v>20.736</v>
      </c>
      <c r="N7" s="41"/>
    </row>
    <row r="8" spans="1:14" ht="12.75" customHeight="1">
      <c r="A8" s="37">
        <v>5</v>
      </c>
      <c r="B8" s="38" t="s">
        <v>20</v>
      </c>
      <c r="C8" s="38" t="s">
        <v>177</v>
      </c>
      <c r="D8" s="39" t="s">
        <v>180</v>
      </c>
      <c r="E8" s="42" t="s">
        <v>203</v>
      </c>
      <c r="F8" s="42">
        <v>76</v>
      </c>
      <c r="G8" s="42">
        <v>14</v>
      </c>
      <c r="H8" s="42">
        <v>1.5</v>
      </c>
      <c r="I8" s="42">
        <v>1</v>
      </c>
      <c r="J8" s="42">
        <v>1</v>
      </c>
      <c r="K8" s="42">
        <f t="shared" si="0"/>
        <v>21</v>
      </c>
      <c r="L8" s="42">
        <v>1.2</v>
      </c>
      <c r="M8" s="54">
        <f t="shared" si="1"/>
        <v>25.2</v>
      </c>
      <c r="N8" s="41" t="s">
        <v>204</v>
      </c>
    </row>
    <row r="9" spans="1:14" ht="12.75" customHeight="1">
      <c r="A9" s="37">
        <v>6</v>
      </c>
      <c r="B9" s="38" t="s">
        <v>20</v>
      </c>
      <c r="C9" s="38" t="s">
        <v>179</v>
      </c>
      <c r="D9" s="39" t="s">
        <v>178</v>
      </c>
      <c r="E9" s="42" t="s">
        <v>203</v>
      </c>
      <c r="F9" s="42">
        <v>78</v>
      </c>
      <c r="G9" s="42">
        <v>30</v>
      </c>
      <c r="H9" s="42">
        <v>1.5</v>
      </c>
      <c r="I9" s="42">
        <v>1</v>
      </c>
      <c r="J9" s="42">
        <v>1</v>
      </c>
      <c r="K9" s="42">
        <f t="shared" si="0"/>
        <v>45</v>
      </c>
      <c r="L9" s="42">
        <v>1.2</v>
      </c>
      <c r="M9" s="54">
        <f t="shared" si="1"/>
        <v>54</v>
      </c>
      <c r="N9" s="41"/>
    </row>
    <row r="10" spans="1:14" ht="12.75" customHeight="1">
      <c r="A10" s="121">
        <v>7</v>
      </c>
      <c r="B10" s="38" t="s">
        <v>20</v>
      </c>
      <c r="C10" s="123" t="s">
        <v>329</v>
      </c>
      <c r="D10" s="123" t="s">
        <v>316</v>
      </c>
      <c r="E10" s="42" t="s">
        <v>203</v>
      </c>
      <c r="F10" s="42">
        <v>97</v>
      </c>
      <c r="G10" s="42">
        <v>2</v>
      </c>
      <c r="H10" s="42">
        <v>1.57</v>
      </c>
      <c r="I10" s="42">
        <v>0.6</v>
      </c>
      <c r="J10" s="42">
        <v>1</v>
      </c>
      <c r="K10" s="42">
        <f t="shared" si="0"/>
        <v>1.884</v>
      </c>
      <c r="L10" s="42">
        <v>1.2</v>
      </c>
      <c r="M10" s="54">
        <f t="shared" si="1"/>
        <v>2.2607999999999997</v>
      </c>
      <c r="N10" s="16" t="s">
        <v>318</v>
      </c>
    </row>
    <row r="11" spans="1:14" ht="12.75" customHeight="1">
      <c r="A11" s="122"/>
      <c r="B11" s="38" t="s">
        <v>317</v>
      </c>
      <c r="C11" s="124"/>
      <c r="D11" s="124"/>
      <c r="E11" s="42" t="s">
        <v>203</v>
      </c>
      <c r="F11" s="42">
        <v>97</v>
      </c>
      <c r="G11" s="42">
        <v>2</v>
      </c>
      <c r="H11" s="42">
        <v>1.57</v>
      </c>
      <c r="I11" s="42">
        <v>0.6</v>
      </c>
      <c r="J11" s="42">
        <v>1</v>
      </c>
      <c r="K11" s="42">
        <f t="shared" si="0"/>
        <v>1.884</v>
      </c>
      <c r="L11" s="42">
        <v>1.4</v>
      </c>
      <c r="M11" s="54">
        <f t="shared" si="1"/>
        <v>2.6375999999999995</v>
      </c>
      <c r="N11" s="16" t="s">
        <v>318</v>
      </c>
    </row>
    <row r="12" spans="1:14" ht="12.75" customHeight="1">
      <c r="A12" s="37">
        <v>8</v>
      </c>
      <c r="B12" s="38" t="s">
        <v>22</v>
      </c>
      <c r="C12" s="38" t="s">
        <v>187</v>
      </c>
      <c r="D12" s="39" t="s">
        <v>178</v>
      </c>
      <c r="E12" s="42" t="s">
        <v>203</v>
      </c>
      <c r="F12" s="42">
        <v>78</v>
      </c>
      <c r="G12" s="42">
        <v>45</v>
      </c>
      <c r="H12" s="42">
        <v>1.5</v>
      </c>
      <c r="I12" s="42">
        <v>1</v>
      </c>
      <c r="J12" s="42">
        <v>1</v>
      </c>
      <c r="K12" s="42">
        <f t="shared" si="0"/>
        <v>67.5</v>
      </c>
      <c r="L12" s="42">
        <v>1.4</v>
      </c>
      <c r="M12" s="54">
        <f>K12*L12</f>
        <v>94.5</v>
      </c>
      <c r="N12" s="40"/>
    </row>
    <row r="13" spans="1:14" ht="12.75" customHeight="1">
      <c r="A13" s="37">
        <v>9</v>
      </c>
      <c r="B13" s="38" t="s">
        <v>22</v>
      </c>
      <c r="C13" s="38" t="s">
        <v>181</v>
      </c>
      <c r="D13" s="39" t="s">
        <v>178</v>
      </c>
      <c r="E13" s="42" t="s">
        <v>203</v>
      </c>
      <c r="F13" s="42">
        <v>78</v>
      </c>
      <c r="G13" s="42">
        <v>30</v>
      </c>
      <c r="H13" s="42">
        <v>1.5</v>
      </c>
      <c r="I13" s="42">
        <v>1</v>
      </c>
      <c r="J13" s="42">
        <v>1</v>
      </c>
      <c r="K13" s="42">
        <f t="shared" si="0"/>
        <v>45</v>
      </c>
      <c r="L13" s="42">
        <v>1.4</v>
      </c>
      <c r="M13" s="54">
        <f>K13*L13</f>
        <v>62.99999999999999</v>
      </c>
      <c r="N13" s="40"/>
    </row>
    <row r="14" spans="1:14" ht="12.75" customHeight="1">
      <c r="A14" s="37">
        <v>10</v>
      </c>
      <c r="B14" s="38" t="s">
        <v>22</v>
      </c>
      <c r="C14" s="38" t="s">
        <v>188</v>
      </c>
      <c r="D14" s="38" t="s">
        <v>189</v>
      </c>
      <c r="E14" s="42" t="s">
        <v>203</v>
      </c>
      <c r="F14" s="42">
        <v>97</v>
      </c>
      <c r="G14" s="42">
        <v>32</v>
      </c>
      <c r="H14" s="42">
        <v>1.57</v>
      </c>
      <c r="I14" s="42">
        <v>1</v>
      </c>
      <c r="J14" s="42">
        <v>1</v>
      </c>
      <c r="K14" s="42">
        <f t="shared" si="0"/>
        <v>50.24</v>
      </c>
      <c r="L14" s="42">
        <v>1.4</v>
      </c>
      <c r="M14" s="54">
        <f>K14*L14</f>
        <v>70.336</v>
      </c>
      <c r="N14" s="16" t="s">
        <v>214</v>
      </c>
    </row>
    <row r="15" spans="1:14" ht="12.75" customHeight="1">
      <c r="A15" s="37">
        <v>11</v>
      </c>
      <c r="B15" s="38" t="s">
        <v>22</v>
      </c>
      <c r="C15" s="38" t="s">
        <v>190</v>
      </c>
      <c r="D15" s="38" t="s">
        <v>183</v>
      </c>
      <c r="E15" s="42" t="s">
        <v>203</v>
      </c>
      <c r="F15" s="42">
        <v>53</v>
      </c>
      <c r="G15" s="42">
        <v>30</v>
      </c>
      <c r="H15" s="42">
        <v>1.08</v>
      </c>
      <c r="I15" s="42">
        <v>1</v>
      </c>
      <c r="J15" s="42">
        <v>1</v>
      </c>
      <c r="K15" s="42">
        <f t="shared" si="0"/>
        <v>32.400000000000006</v>
      </c>
      <c r="L15" s="42">
        <v>1.4</v>
      </c>
      <c r="M15" s="54">
        <f>K15*L15</f>
        <v>45.36000000000001</v>
      </c>
      <c r="N15" s="16" t="s">
        <v>215</v>
      </c>
    </row>
    <row r="16" spans="1:14" ht="12.75" customHeight="1">
      <c r="A16" s="37">
        <v>12</v>
      </c>
      <c r="B16" s="38" t="s">
        <v>185</v>
      </c>
      <c r="C16" s="38" t="s">
        <v>184</v>
      </c>
      <c r="D16" s="39" t="s">
        <v>178</v>
      </c>
      <c r="E16" s="42" t="s">
        <v>203</v>
      </c>
      <c r="F16" s="42">
        <v>78</v>
      </c>
      <c r="G16" s="42">
        <v>45</v>
      </c>
      <c r="H16" s="42">
        <v>1.5</v>
      </c>
      <c r="I16" s="42">
        <v>1</v>
      </c>
      <c r="J16" s="42">
        <v>1</v>
      </c>
      <c r="K16" s="42">
        <f t="shared" si="0"/>
        <v>67.5</v>
      </c>
      <c r="L16" s="42">
        <v>1.2</v>
      </c>
      <c r="M16" s="54">
        <f t="shared" si="1"/>
        <v>81</v>
      </c>
      <c r="N16" s="41" t="s">
        <v>204</v>
      </c>
    </row>
    <row r="17" spans="1:14" ht="12.75" customHeight="1">
      <c r="A17" s="37">
        <v>13</v>
      </c>
      <c r="B17" s="38" t="s">
        <v>19</v>
      </c>
      <c r="C17" s="38" t="s">
        <v>184</v>
      </c>
      <c r="D17" s="39" t="s">
        <v>180</v>
      </c>
      <c r="E17" s="42" t="s">
        <v>203</v>
      </c>
      <c r="F17" s="42">
        <v>76</v>
      </c>
      <c r="G17" s="42">
        <v>45</v>
      </c>
      <c r="H17" s="42">
        <v>1.5</v>
      </c>
      <c r="I17" s="42">
        <v>1</v>
      </c>
      <c r="J17" s="42">
        <v>1</v>
      </c>
      <c r="K17" s="42">
        <f t="shared" si="0"/>
        <v>67.5</v>
      </c>
      <c r="L17" s="42">
        <v>1.2</v>
      </c>
      <c r="M17" s="54">
        <f t="shared" si="1"/>
        <v>81</v>
      </c>
      <c r="N17" s="41" t="s">
        <v>204</v>
      </c>
    </row>
    <row r="18" spans="1:14" ht="12.75" customHeight="1">
      <c r="A18" s="37">
        <v>14</v>
      </c>
      <c r="B18" s="38" t="s">
        <v>19</v>
      </c>
      <c r="C18" s="38" t="s">
        <v>186</v>
      </c>
      <c r="D18" s="38" t="s">
        <v>180</v>
      </c>
      <c r="E18" s="42" t="s">
        <v>203</v>
      </c>
      <c r="F18" s="42">
        <v>76</v>
      </c>
      <c r="G18" s="42">
        <v>30</v>
      </c>
      <c r="H18" s="42">
        <v>1.5</v>
      </c>
      <c r="I18" s="42">
        <v>1</v>
      </c>
      <c r="J18" s="42">
        <v>1</v>
      </c>
      <c r="K18" s="42">
        <f t="shared" si="0"/>
        <v>45</v>
      </c>
      <c r="L18" s="42">
        <v>1.2</v>
      </c>
      <c r="M18" s="54">
        <f t="shared" si="1"/>
        <v>54</v>
      </c>
      <c r="N18" s="40"/>
    </row>
    <row r="19" spans="1:14" ht="12.75" customHeight="1">
      <c r="A19" s="37">
        <v>15</v>
      </c>
      <c r="B19" s="38" t="s">
        <v>191</v>
      </c>
      <c r="C19" s="38" t="s">
        <v>187</v>
      </c>
      <c r="D19" s="39" t="s">
        <v>180</v>
      </c>
      <c r="E19" s="42" t="s">
        <v>203</v>
      </c>
      <c r="F19" s="42">
        <v>76</v>
      </c>
      <c r="G19" s="42">
        <v>45</v>
      </c>
      <c r="H19" s="42">
        <v>1.5</v>
      </c>
      <c r="I19" s="42">
        <v>1</v>
      </c>
      <c r="J19" s="42">
        <v>1</v>
      </c>
      <c r="K19" s="42">
        <f t="shared" si="0"/>
        <v>67.5</v>
      </c>
      <c r="L19" s="42">
        <v>1.2</v>
      </c>
      <c r="M19" s="54">
        <f t="shared" si="1"/>
        <v>81</v>
      </c>
      <c r="N19" s="40"/>
    </row>
    <row r="20" spans="1:14" ht="12.75" customHeight="1">
      <c r="A20" s="37">
        <v>16</v>
      </c>
      <c r="B20" s="38" t="s">
        <v>193</v>
      </c>
      <c r="C20" s="38" t="s">
        <v>192</v>
      </c>
      <c r="D20" s="38" t="s">
        <v>178</v>
      </c>
      <c r="E20" s="42" t="s">
        <v>203</v>
      </c>
      <c r="F20" s="42">
        <v>78</v>
      </c>
      <c r="G20" s="42">
        <v>30</v>
      </c>
      <c r="H20" s="42">
        <v>1.5</v>
      </c>
      <c r="I20" s="42">
        <v>1</v>
      </c>
      <c r="J20" s="42">
        <v>1</v>
      </c>
      <c r="K20" s="42">
        <f t="shared" si="0"/>
        <v>45</v>
      </c>
      <c r="L20" s="42">
        <v>1.2</v>
      </c>
      <c r="M20" s="54">
        <f t="shared" si="1"/>
        <v>54</v>
      </c>
      <c r="N20" s="40"/>
    </row>
    <row r="21" spans="1:14" ht="12.75" customHeight="1">
      <c r="A21" s="37">
        <v>17</v>
      </c>
      <c r="B21" s="38" t="s">
        <v>18</v>
      </c>
      <c r="C21" s="38" t="s">
        <v>192</v>
      </c>
      <c r="D21" s="38" t="s">
        <v>180</v>
      </c>
      <c r="E21" s="42" t="s">
        <v>203</v>
      </c>
      <c r="F21" s="42">
        <v>76</v>
      </c>
      <c r="G21" s="42">
        <v>30</v>
      </c>
      <c r="H21" s="42">
        <v>1.5</v>
      </c>
      <c r="I21" s="42">
        <v>1</v>
      </c>
      <c r="J21" s="42">
        <v>1</v>
      </c>
      <c r="K21" s="42">
        <f t="shared" si="0"/>
        <v>45</v>
      </c>
      <c r="L21" s="42">
        <v>1.2</v>
      </c>
      <c r="M21" s="54">
        <f t="shared" si="1"/>
        <v>54</v>
      </c>
      <c r="N21" s="40"/>
    </row>
    <row r="22" spans="1:14" ht="12.75" customHeight="1">
      <c r="A22" s="37">
        <v>18</v>
      </c>
      <c r="B22" s="38" t="s">
        <v>18</v>
      </c>
      <c r="C22" s="38" t="s">
        <v>330</v>
      </c>
      <c r="D22" s="38" t="s">
        <v>205</v>
      </c>
      <c r="E22" s="42" t="s">
        <v>203</v>
      </c>
      <c r="F22" s="42">
        <v>136</v>
      </c>
      <c r="G22" s="42">
        <v>30</v>
      </c>
      <c r="H22" s="42">
        <v>1.91</v>
      </c>
      <c r="I22" s="42">
        <v>1</v>
      </c>
      <c r="J22" s="42">
        <v>1</v>
      </c>
      <c r="K22" s="42">
        <f t="shared" si="0"/>
        <v>57.3</v>
      </c>
      <c r="L22" s="42">
        <v>1.2</v>
      </c>
      <c r="M22" s="54">
        <f t="shared" si="1"/>
        <v>68.75999999999999</v>
      </c>
      <c r="N22" s="16" t="s">
        <v>215</v>
      </c>
    </row>
    <row r="23" spans="1:14" ht="12.75" customHeight="1">
      <c r="A23" s="37">
        <v>19</v>
      </c>
      <c r="B23" s="38" t="s">
        <v>17</v>
      </c>
      <c r="C23" s="38" t="s">
        <v>186</v>
      </c>
      <c r="D23" s="38" t="s">
        <v>178</v>
      </c>
      <c r="E23" s="42" t="s">
        <v>203</v>
      </c>
      <c r="F23" s="42">
        <v>78</v>
      </c>
      <c r="G23" s="42">
        <v>30</v>
      </c>
      <c r="H23" s="42">
        <v>1.5</v>
      </c>
      <c r="I23" s="42">
        <v>1</v>
      </c>
      <c r="J23" s="42">
        <v>1</v>
      </c>
      <c r="K23" s="42">
        <f t="shared" si="0"/>
        <v>45</v>
      </c>
      <c r="L23" s="42">
        <v>1.2</v>
      </c>
      <c r="M23" s="54">
        <f t="shared" si="1"/>
        <v>54</v>
      </c>
      <c r="N23" s="40"/>
    </row>
    <row r="24" spans="1:14" ht="12.75" customHeight="1">
      <c r="A24" s="37">
        <v>20</v>
      </c>
      <c r="B24" s="38" t="s">
        <v>17</v>
      </c>
      <c r="C24" s="38" t="s">
        <v>331</v>
      </c>
      <c r="D24" s="38" t="s">
        <v>206</v>
      </c>
      <c r="E24" s="42" t="s">
        <v>203</v>
      </c>
      <c r="F24" s="42">
        <v>101</v>
      </c>
      <c r="G24" s="42">
        <v>30</v>
      </c>
      <c r="H24" s="42">
        <v>1.56</v>
      </c>
      <c r="I24" s="42">
        <v>1</v>
      </c>
      <c r="J24" s="42">
        <v>1</v>
      </c>
      <c r="K24" s="42">
        <f t="shared" si="0"/>
        <v>46.800000000000004</v>
      </c>
      <c r="L24" s="42">
        <v>1.2</v>
      </c>
      <c r="M24" s="54">
        <f t="shared" si="1"/>
        <v>56.160000000000004</v>
      </c>
      <c r="N24" s="16" t="s">
        <v>215</v>
      </c>
    </row>
    <row r="25" spans="1:14" ht="12.75" customHeight="1">
      <c r="A25" s="37">
        <v>21</v>
      </c>
      <c r="B25" s="38" t="s">
        <v>17</v>
      </c>
      <c r="C25" s="38" t="s">
        <v>194</v>
      </c>
      <c r="D25" s="38" t="s">
        <v>183</v>
      </c>
      <c r="E25" s="42" t="s">
        <v>203</v>
      </c>
      <c r="F25" s="42">
        <v>53</v>
      </c>
      <c r="G25" s="42">
        <v>30</v>
      </c>
      <c r="H25" s="42">
        <v>1.08</v>
      </c>
      <c r="I25" s="42">
        <v>1</v>
      </c>
      <c r="J25" s="42">
        <v>1</v>
      </c>
      <c r="K25" s="42">
        <f t="shared" si="0"/>
        <v>32.400000000000006</v>
      </c>
      <c r="L25" s="42">
        <v>1.2</v>
      </c>
      <c r="M25" s="54">
        <f t="shared" si="1"/>
        <v>38.88</v>
      </c>
      <c r="N25" s="16" t="s">
        <v>215</v>
      </c>
    </row>
    <row r="26" spans="1:14" ht="12.75" customHeight="1">
      <c r="A26" s="37">
        <v>22</v>
      </c>
      <c r="B26" s="38" t="s">
        <v>6</v>
      </c>
      <c r="C26" s="38" t="s">
        <v>332</v>
      </c>
      <c r="D26" s="38" t="s">
        <v>195</v>
      </c>
      <c r="E26" s="42" t="s">
        <v>203</v>
      </c>
      <c r="F26" s="42">
        <v>71</v>
      </c>
      <c r="G26" s="42">
        <v>30</v>
      </c>
      <c r="H26" s="42">
        <v>1.26</v>
      </c>
      <c r="I26" s="42">
        <v>1</v>
      </c>
      <c r="J26" s="42">
        <v>1</v>
      </c>
      <c r="K26" s="42">
        <f t="shared" si="0"/>
        <v>37.8</v>
      </c>
      <c r="L26" s="42">
        <v>1.2</v>
      </c>
      <c r="M26" s="54">
        <f t="shared" si="1"/>
        <v>45.35999999999999</v>
      </c>
      <c r="N26" s="16" t="s">
        <v>215</v>
      </c>
    </row>
    <row r="27" spans="1:14" ht="12.75" customHeight="1">
      <c r="A27" s="37">
        <v>23</v>
      </c>
      <c r="B27" s="38" t="s">
        <v>15</v>
      </c>
      <c r="C27" s="38" t="s">
        <v>196</v>
      </c>
      <c r="D27" s="38" t="s">
        <v>197</v>
      </c>
      <c r="E27" s="42" t="s">
        <v>203</v>
      </c>
      <c r="F27" s="42">
        <v>108</v>
      </c>
      <c r="G27" s="42">
        <v>32</v>
      </c>
      <c r="H27" s="42">
        <v>1.7</v>
      </c>
      <c r="I27" s="42">
        <v>1</v>
      </c>
      <c r="J27" s="42">
        <v>1</v>
      </c>
      <c r="K27" s="42">
        <f t="shared" si="0"/>
        <v>54.4</v>
      </c>
      <c r="L27" s="42">
        <v>1.05</v>
      </c>
      <c r="M27" s="54">
        <f t="shared" si="1"/>
        <v>57.12</v>
      </c>
      <c r="N27" s="40"/>
    </row>
    <row r="28" spans="1:14" ht="12.75" customHeight="1">
      <c r="A28" s="37">
        <v>24</v>
      </c>
      <c r="B28" s="38" t="s">
        <v>15</v>
      </c>
      <c r="C28" s="38" t="s">
        <v>198</v>
      </c>
      <c r="D28" s="38" t="s">
        <v>183</v>
      </c>
      <c r="E28" s="42" t="s">
        <v>203</v>
      </c>
      <c r="F28" s="42">
        <v>53</v>
      </c>
      <c r="G28" s="42">
        <v>30</v>
      </c>
      <c r="H28" s="42">
        <v>1.08</v>
      </c>
      <c r="I28" s="42">
        <v>1</v>
      </c>
      <c r="J28" s="42">
        <v>1</v>
      </c>
      <c r="K28" s="42">
        <f t="shared" si="0"/>
        <v>32.400000000000006</v>
      </c>
      <c r="L28" s="42">
        <v>1.05</v>
      </c>
      <c r="M28" s="54">
        <f t="shared" si="1"/>
        <v>34.02000000000001</v>
      </c>
      <c r="N28" s="16" t="s">
        <v>215</v>
      </c>
    </row>
    <row r="29" spans="1:14" ht="12.75" customHeight="1">
      <c r="A29" s="37">
        <v>25</v>
      </c>
      <c r="B29" s="38" t="s">
        <v>15</v>
      </c>
      <c r="C29" s="38" t="s">
        <v>199</v>
      </c>
      <c r="D29" s="38" t="s">
        <v>183</v>
      </c>
      <c r="E29" s="42" t="s">
        <v>203</v>
      </c>
      <c r="F29" s="42">
        <v>53</v>
      </c>
      <c r="G29" s="42">
        <v>30</v>
      </c>
      <c r="H29" s="42">
        <v>1.08</v>
      </c>
      <c r="I29" s="42">
        <v>1</v>
      </c>
      <c r="J29" s="42">
        <v>1</v>
      </c>
      <c r="K29" s="42">
        <f t="shared" si="0"/>
        <v>32.400000000000006</v>
      </c>
      <c r="L29" s="42">
        <v>1.05</v>
      </c>
      <c r="M29" s="54">
        <f t="shared" si="1"/>
        <v>34.02000000000001</v>
      </c>
      <c r="N29" s="16" t="s">
        <v>215</v>
      </c>
    </row>
    <row r="30" spans="1:14" ht="12.75" customHeight="1">
      <c r="A30" s="37">
        <v>26</v>
      </c>
      <c r="B30" s="38" t="s">
        <v>21</v>
      </c>
      <c r="C30" s="38" t="s">
        <v>200</v>
      </c>
      <c r="D30" s="38" t="s">
        <v>183</v>
      </c>
      <c r="E30" s="42" t="s">
        <v>203</v>
      </c>
      <c r="F30" s="42">
        <v>53</v>
      </c>
      <c r="G30" s="42">
        <v>30</v>
      </c>
      <c r="H30" s="42">
        <v>1.08</v>
      </c>
      <c r="I30" s="42">
        <v>1</v>
      </c>
      <c r="J30" s="42">
        <v>1</v>
      </c>
      <c r="K30" s="42">
        <f t="shared" si="0"/>
        <v>32.400000000000006</v>
      </c>
      <c r="L30" s="42">
        <v>1.2</v>
      </c>
      <c r="M30" s="54">
        <f t="shared" si="1"/>
        <v>38.88</v>
      </c>
      <c r="N30" s="16" t="s">
        <v>215</v>
      </c>
    </row>
    <row r="31" spans="1:14" ht="12.75" customHeight="1">
      <c r="A31" s="37">
        <v>27</v>
      </c>
      <c r="B31" s="38" t="s">
        <v>21</v>
      </c>
      <c r="C31" s="38" t="s">
        <v>201</v>
      </c>
      <c r="D31" s="38" t="s">
        <v>183</v>
      </c>
      <c r="E31" s="42" t="s">
        <v>203</v>
      </c>
      <c r="F31" s="42">
        <v>53</v>
      </c>
      <c r="G31" s="42">
        <v>45</v>
      </c>
      <c r="H31" s="42">
        <v>1.08</v>
      </c>
      <c r="I31" s="42">
        <v>1</v>
      </c>
      <c r="J31" s="42">
        <v>1</v>
      </c>
      <c r="K31" s="42">
        <f t="shared" si="0"/>
        <v>48.6</v>
      </c>
      <c r="L31" s="42">
        <v>1.2</v>
      </c>
      <c r="M31" s="54">
        <f t="shared" si="1"/>
        <v>58.32</v>
      </c>
      <c r="N31" s="16" t="s">
        <v>215</v>
      </c>
    </row>
    <row r="32" spans="1:14" ht="12.75" customHeight="1">
      <c r="A32" s="37">
        <v>28</v>
      </c>
      <c r="B32" s="38" t="s">
        <v>16</v>
      </c>
      <c r="C32" s="38" t="s">
        <v>202</v>
      </c>
      <c r="D32" s="38" t="s">
        <v>183</v>
      </c>
      <c r="E32" s="42" t="s">
        <v>203</v>
      </c>
      <c r="F32" s="42">
        <v>53</v>
      </c>
      <c r="G32" s="42">
        <v>30</v>
      </c>
      <c r="H32" s="42">
        <v>1.08</v>
      </c>
      <c r="I32" s="42">
        <v>1</v>
      </c>
      <c r="J32" s="42">
        <v>1</v>
      </c>
      <c r="K32" s="42">
        <f t="shared" si="0"/>
        <v>32.400000000000006</v>
      </c>
      <c r="L32" s="42">
        <v>1.05</v>
      </c>
      <c r="M32" s="54">
        <f t="shared" si="1"/>
        <v>34.02000000000001</v>
      </c>
      <c r="N32" s="16" t="s">
        <v>215</v>
      </c>
    </row>
    <row r="33" spans="1:14" ht="12.75" customHeight="1">
      <c r="A33" s="125" t="s">
        <v>207</v>
      </c>
      <c r="B33" s="125"/>
      <c r="C33" s="125"/>
      <c r="D33" s="13"/>
      <c r="E33" s="14"/>
      <c r="F33" s="14"/>
      <c r="G33" s="13"/>
      <c r="H33" s="14"/>
      <c r="I33" s="14"/>
      <c r="J33" s="14"/>
      <c r="K33" s="53">
        <f>SUM(K4:K32)</f>
        <v>1182.588</v>
      </c>
      <c r="L33" s="12"/>
      <c r="M33" s="55">
        <f>SUM(M4:M32)</f>
        <v>1435.7703999999999</v>
      </c>
      <c r="N33" s="13"/>
    </row>
    <row r="35" spans="1:11" ht="14.25">
      <c r="A35" s="9" t="s">
        <v>209</v>
      </c>
      <c r="B35" s="9"/>
      <c r="C35" s="9"/>
      <c r="D35" s="60" t="s">
        <v>338</v>
      </c>
      <c r="F35" s="3"/>
      <c r="H35"/>
      <c r="I35" s="10" t="s">
        <v>337</v>
      </c>
      <c r="K35" s="60" t="s">
        <v>320</v>
      </c>
    </row>
    <row r="36" ht="20.25">
      <c r="C36" s="1" t="s">
        <v>324</v>
      </c>
    </row>
    <row r="37" spans="4:6" ht="20.25">
      <c r="D37" s="1"/>
      <c r="E37" s="11"/>
      <c r="F37" s="11"/>
    </row>
    <row r="38" spans="1:14" ht="27">
      <c r="A38" s="4" t="s">
        <v>0</v>
      </c>
      <c r="B38" s="4" t="s">
        <v>5</v>
      </c>
      <c r="C38" s="4" t="s">
        <v>1</v>
      </c>
      <c r="D38" s="4" t="s">
        <v>2</v>
      </c>
      <c r="E38" s="5" t="s">
        <v>53</v>
      </c>
      <c r="F38" s="4" t="s">
        <v>149</v>
      </c>
      <c r="G38" s="4" t="s">
        <v>328</v>
      </c>
      <c r="H38" s="4" t="s">
        <v>150</v>
      </c>
      <c r="I38" s="6" t="s">
        <v>151</v>
      </c>
      <c r="J38" s="7" t="s">
        <v>152</v>
      </c>
      <c r="K38" s="8" t="s">
        <v>51</v>
      </c>
      <c r="L38" s="8" t="s">
        <v>50</v>
      </c>
      <c r="M38" s="4" t="s">
        <v>61</v>
      </c>
      <c r="N38" s="4" t="s">
        <v>52</v>
      </c>
    </row>
    <row r="39" spans="1:14" ht="15">
      <c r="A39" s="44">
        <v>1</v>
      </c>
      <c r="B39" s="2" t="s">
        <v>7</v>
      </c>
      <c r="C39" s="2" t="s">
        <v>217</v>
      </c>
      <c r="D39" s="2" t="s">
        <v>239</v>
      </c>
      <c r="E39" s="12" t="s">
        <v>203</v>
      </c>
      <c r="F39" s="12">
        <v>37</v>
      </c>
      <c r="G39" s="12">
        <v>52</v>
      </c>
      <c r="H39" s="12">
        <v>1</v>
      </c>
      <c r="I39" s="12">
        <v>1</v>
      </c>
      <c r="J39" s="12">
        <v>1</v>
      </c>
      <c r="K39" s="42">
        <f aca="true" t="shared" si="2" ref="K39:K50">G39*H39*I39*J39</f>
        <v>52</v>
      </c>
      <c r="L39" s="12">
        <v>1.2</v>
      </c>
      <c r="M39" s="12">
        <f>K39*L39</f>
        <v>62.4</v>
      </c>
      <c r="N39" s="45"/>
    </row>
    <row r="40" spans="1:14" ht="15">
      <c r="A40" s="44">
        <v>2</v>
      </c>
      <c r="B40" s="2" t="s">
        <v>7</v>
      </c>
      <c r="C40" s="2" t="s">
        <v>218</v>
      </c>
      <c r="D40" s="2" t="s">
        <v>240</v>
      </c>
      <c r="E40" s="12" t="s">
        <v>241</v>
      </c>
      <c r="F40" s="12">
        <v>68</v>
      </c>
      <c r="G40" s="12">
        <v>36</v>
      </c>
      <c r="H40" s="12">
        <v>1.5</v>
      </c>
      <c r="I40" s="12">
        <v>1</v>
      </c>
      <c r="J40" s="12">
        <v>1</v>
      </c>
      <c r="K40" s="42">
        <f t="shared" si="2"/>
        <v>54</v>
      </c>
      <c r="L40" s="12">
        <v>1.2</v>
      </c>
      <c r="M40" s="12">
        <f aca="true" t="shared" si="3" ref="M40:M50">K40*L40</f>
        <v>64.8</v>
      </c>
      <c r="N40" s="45"/>
    </row>
    <row r="41" spans="1:14" ht="15">
      <c r="A41" s="44">
        <v>3</v>
      </c>
      <c r="B41" s="2" t="s">
        <v>6</v>
      </c>
      <c r="C41" s="2" t="s">
        <v>217</v>
      </c>
      <c r="D41" s="2" t="s">
        <v>242</v>
      </c>
      <c r="E41" s="12" t="s">
        <v>241</v>
      </c>
      <c r="F41" s="12">
        <v>31</v>
      </c>
      <c r="G41" s="12">
        <v>52</v>
      </c>
      <c r="H41" s="12">
        <v>1</v>
      </c>
      <c r="I41" s="12">
        <v>1</v>
      </c>
      <c r="J41" s="12">
        <v>1</v>
      </c>
      <c r="K41" s="42">
        <f t="shared" si="2"/>
        <v>52</v>
      </c>
      <c r="L41" s="12">
        <v>1.2</v>
      </c>
      <c r="M41" s="12">
        <f t="shared" si="3"/>
        <v>62.4</v>
      </c>
      <c r="N41" s="45"/>
    </row>
    <row r="42" spans="1:14" ht="15">
      <c r="A42" s="44">
        <v>4</v>
      </c>
      <c r="B42" s="2" t="s">
        <v>13</v>
      </c>
      <c r="C42" s="2" t="s">
        <v>219</v>
      </c>
      <c r="D42" s="2" t="s">
        <v>240</v>
      </c>
      <c r="E42" s="12" t="s">
        <v>241</v>
      </c>
      <c r="F42" s="12">
        <v>68</v>
      </c>
      <c r="G42" s="12">
        <v>48</v>
      </c>
      <c r="H42" s="12">
        <v>1.5</v>
      </c>
      <c r="I42" s="12">
        <v>1</v>
      </c>
      <c r="J42" s="12">
        <v>1</v>
      </c>
      <c r="K42" s="42">
        <f t="shared" si="2"/>
        <v>72</v>
      </c>
      <c r="L42" s="12">
        <v>1.2</v>
      </c>
      <c r="M42" s="12">
        <f t="shared" si="3"/>
        <v>86.39999999999999</v>
      </c>
      <c r="N42" s="45"/>
    </row>
    <row r="43" spans="1:14" ht="15">
      <c r="A43" s="44">
        <v>5</v>
      </c>
      <c r="B43" s="2" t="s">
        <v>13</v>
      </c>
      <c r="C43" s="2" t="s">
        <v>220</v>
      </c>
      <c r="D43" s="2" t="s">
        <v>240</v>
      </c>
      <c r="E43" s="12" t="s">
        <v>241</v>
      </c>
      <c r="F43" s="12">
        <v>68</v>
      </c>
      <c r="G43" s="12">
        <v>24</v>
      </c>
      <c r="H43" s="12">
        <v>1.5</v>
      </c>
      <c r="I43" s="12">
        <v>1</v>
      </c>
      <c r="J43" s="12">
        <v>1</v>
      </c>
      <c r="K43" s="42">
        <f t="shared" si="2"/>
        <v>36</v>
      </c>
      <c r="L43" s="12">
        <v>1.2</v>
      </c>
      <c r="M43" s="12">
        <f t="shared" si="3"/>
        <v>43.199999999999996</v>
      </c>
      <c r="N43" s="45"/>
    </row>
    <row r="44" spans="1:14" ht="15">
      <c r="A44" s="44">
        <v>6</v>
      </c>
      <c r="B44" s="2" t="s">
        <v>8</v>
      </c>
      <c r="C44" s="2" t="s">
        <v>221</v>
      </c>
      <c r="D44" s="2" t="s">
        <v>240</v>
      </c>
      <c r="E44" s="12" t="s">
        <v>241</v>
      </c>
      <c r="F44" s="12">
        <v>68</v>
      </c>
      <c r="G44" s="12">
        <v>30</v>
      </c>
      <c r="H44" s="12">
        <v>1.5</v>
      </c>
      <c r="I44" s="12">
        <v>1</v>
      </c>
      <c r="J44" s="12">
        <v>1</v>
      </c>
      <c r="K44" s="42">
        <f t="shared" si="2"/>
        <v>45</v>
      </c>
      <c r="L44" s="12">
        <v>1.2</v>
      </c>
      <c r="M44" s="12">
        <f t="shared" si="3"/>
        <v>54</v>
      </c>
      <c r="N44" s="45"/>
    </row>
    <row r="45" spans="1:14" ht="15">
      <c r="A45" s="44">
        <v>7</v>
      </c>
      <c r="B45" s="2" t="s">
        <v>8</v>
      </c>
      <c r="C45" s="2" t="s">
        <v>222</v>
      </c>
      <c r="D45" s="2" t="s">
        <v>243</v>
      </c>
      <c r="E45" s="12" t="s">
        <v>241</v>
      </c>
      <c r="F45" s="12">
        <v>40</v>
      </c>
      <c r="G45" s="12">
        <v>60</v>
      </c>
      <c r="H45" s="12">
        <v>1</v>
      </c>
      <c r="I45" s="12">
        <v>1</v>
      </c>
      <c r="J45" s="12">
        <v>1</v>
      </c>
      <c r="K45" s="42">
        <f t="shared" si="2"/>
        <v>60</v>
      </c>
      <c r="L45" s="12">
        <v>1.2</v>
      </c>
      <c r="M45" s="12">
        <f t="shared" si="3"/>
        <v>72</v>
      </c>
      <c r="N45" s="45"/>
    </row>
    <row r="46" spans="1:14" ht="15">
      <c r="A46" s="44">
        <v>8</v>
      </c>
      <c r="B46" s="2" t="s">
        <v>11</v>
      </c>
      <c r="C46" s="2" t="s">
        <v>223</v>
      </c>
      <c r="D46" s="2" t="s">
        <v>240</v>
      </c>
      <c r="E46" s="12" t="s">
        <v>241</v>
      </c>
      <c r="F46" s="12">
        <v>68</v>
      </c>
      <c r="G46" s="12">
        <v>24</v>
      </c>
      <c r="H46" s="12">
        <v>1.5</v>
      </c>
      <c r="I46" s="12">
        <v>1</v>
      </c>
      <c r="J46" s="12">
        <v>1</v>
      </c>
      <c r="K46" s="42">
        <f t="shared" si="2"/>
        <v>36</v>
      </c>
      <c r="L46" s="12">
        <v>1.2</v>
      </c>
      <c r="M46" s="12">
        <f t="shared" si="3"/>
        <v>43.199999999999996</v>
      </c>
      <c r="N46" s="45"/>
    </row>
    <row r="47" spans="1:14" ht="15">
      <c r="A47" s="44">
        <v>9</v>
      </c>
      <c r="B47" s="2" t="s">
        <v>11</v>
      </c>
      <c r="C47" s="2" t="s">
        <v>224</v>
      </c>
      <c r="D47" s="2" t="s">
        <v>240</v>
      </c>
      <c r="E47" s="12" t="s">
        <v>241</v>
      </c>
      <c r="F47" s="12">
        <v>68</v>
      </c>
      <c r="G47" s="12">
        <v>26</v>
      </c>
      <c r="H47" s="12">
        <v>1.5</v>
      </c>
      <c r="I47" s="12">
        <v>1</v>
      </c>
      <c r="J47" s="12">
        <v>1</v>
      </c>
      <c r="K47" s="42">
        <f t="shared" si="2"/>
        <v>39</v>
      </c>
      <c r="L47" s="12">
        <v>1.2</v>
      </c>
      <c r="M47" s="12">
        <f t="shared" si="3"/>
        <v>46.8</v>
      </c>
      <c r="N47" s="45"/>
    </row>
    <row r="48" spans="1:14" ht="15">
      <c r="A48" s="44">
        <v>10</v>
      </c>
      <c r="B48" s="2" t="s">
        <v>11</v>
      </c>
      <c r="C48" s="2" t="s">
        <v>225</v>
      </c>
      <c r="D48" s="2" t="s">
        <v>240</v>
      </c>
      <c r="E48" s="12" t="s">
        <v>241</v>
      </c>
      <c r="F48" s="12">
        <v>68</v>
      </c>
      <c r="G48" s="12">
        <v>24</v>
      </c>
      <c r="H48" s="12">
        <v>1.5</v>
      </c>
      <c r="I48" s="12">
        <v>1</v>
      </c>
      <c r="J48" s="12">
        <v>1</v>
      </c>
      <c r="K48" s="42">
        <f t="shared" si="2"/>
        <v>36</v>
      </c>
      <c r="L48" s="12">
        <v>1.2</v>
      </c>
      <c r="M48" s="12">
        <f t="shared" si="3"/>
        <v>43.199999999999996</v>
      </c>
      <c r="N48" s="45"/>
    </row>
    <row r="49" spans="1:14" ht="15">
      <c r="A49" s="44">
        <v>11</v>
      </c>
      <c r="B49" s="2" t="s">
        <v>12</v>
      </c>
      <c r="C49" s="2" t="s">
        <v>226</v>
      </c>
      <c r="D49" s="2" t="s">
        <v>240</v>
      </c>
      <c r="E49" s="12" t="s">
        <v>241</v>
      </c>
      <c r="F49" s="12">
        <v>68</v>
      </c>
      <c r="G49" s="12">
        <v>26</v>
      </c>
      <c r="H49" s="12">
        <v>1.5</v>
      </c>
      <c r="I49" s="12">
        <v>1</v>
      </c>
      <c r="J49" s="12">
        <v>1</v>
      </c>
      <c r="K49" s="42">
        <f t="shared" si="2"/>
        <v>39</v>
      </c>
      <c r="L49" s="12">
        <v>1.2</v>
      </c>
      <c r="M49" s="12">
        <f t="shared" si="3"/>
        <v>46.8</v>
      </c>
      <c r="N49" s="45"/>
    </row>
    <row r="50" spans="1:14" ht="15">
      <c r="A50" s="44">
        <v>12</v>
      </c>
      <c r="B50" s="2" t="s">
        <v>12</v>
      </c>
      <c r="C50" s="2" t="s">
        <v>222</v>
      </c>
      <c r="D50" s="2" t="s">
        <v>244</v>
      </c>
      <c r="E50" s="12" t="s">
        <v>241</v>
      </c>
      <c r="F50" s="12">
        <v>39</v>
      </c>
      <c r="G50" s="12">
        <v>60</v>
      </c>
      <c r="H50" s="12">
        <v>1</v>
      </c>
      <c r="I50" s="12">
        <v>1</v>
      </c>
      <c r="J50" s="12">
        <v>1</v>
      </c>
      <c r="K50" s="42">
        <f t="shared" si="2"/>
        <v>60</v>
      </c>
      <c r="L50" s="12">
        <v>1.2</v>
      </c>
      <c r="M50" s="12">
        <f t="shared" si="3"/>
        <v>72</v>
      </c>
      <c r="N50" s="45"/>
    </row>
    <row r="51" spans="1:14" ht="14.25">
      <c r="A51" s="125" t="s">
        <v>207</v>
      </c>
      <c r="B51" s="125"/>
      <c r="C51" s="125"/>
      <c r="D51" s="13"/>
      <c r="E51" s="14"/>
      <c r="F51" s="14"/>
      <c r="G51" s="13"/>
      <c r="H51" s="14"/>
      <c r="I51" s="14"/>
      <c r="J51" s="14"/>
      <c r="K51" s="12">
        <f>SUM(K39:K50)</f>
        <v>581</v>
      </c>
      <c r="L51" s="12"/>
      <c r="M51" s="12">
        <f>SUM(M39:M50)</f>
        <v>697.1999999999999</v>
      </c>
      <c r="N51" s="13"/>
    </row>
    <row r="53" spans="1:11" ht="14.25">
      <c r="A53" s="9" t="s">
        <v>209</v>
      </c>
      <c r="B53" s="9"/>
      <c r="C53" s="9"/>
      <c r="D53" s="60" t="s">
        <v>338</v>
      </c>
      <c r="F53" s="3"/>
      <c r="H53"/>
      <c r="I53" s="10" t="s">
        <v>337</v>
      </c>
      <c r="K53" s="60" t="s">
        <v>320</v>
      </c>
    </row>
    <row r="67" ht="20.25">
      <c r="C67" s="1" t="s">
        <v>325</v>
      </c>
    </row>
    <row r="68" spans="4:6" ht="20.25">
      <c r="D68" s="1"/>
      <c r="E68" s="11"/>
      <c r="F68" s="11"/>
    </row>
    <row r="69" spans="1:14" ht="27">
      <c r="A69" s="4" t="s">
        <v>0</v>
      </c>
      <c r="B69" s="4" t="s">
        <v>5</v>
      </c>
      <c r="C69" s="4" t="s">
        <v>1</v>
      </c>
      <c r="D69" s="4" t="s">
        <v>2</v>
      </c>
      <c r="E69" s="5" t="s">
        <v>53</v>
      </c>
      <c r="F69" s="4" t="s">
        <v>149</v>
      </c>
      <c r="G69" s="4" t="s">
        <v>328</v>
      </c>
      <c r="H69" s="4" t="s">
        <v>150</v>
      </c>
      <c r="I69" s="6" t="s">
        <v>151</v>
      </c>
      <c r="J69" s="7" t="s">
        <v>152</v>
      </c>
      <c r="K69" s="8" t="s">
        <v>51</v>
      </c>
      <c r="L69" s="8" t="s">
        <v>50</v>
      </c>
      <c r="M69" s="4" t="s">
        <v>61</v>
      </c>
      <c r="N69" s="4" t="s">
        <v>52</v>
      </c>
    </row>
    <row r="70" spans="1:14" ht="15">
      <c r="A70" s="44">
        <v>1</v>
      </c>
      <c r="B70" s="2" t="s">
        <v>63</v>
      </c>
      <c r="C70" s="2" t="s">
        <v>190</v>
      </c>
      <c r="D70" s="2" t="s">
        <v>235</v>
      </c>
      <c r="E70" s="12" t="s">
        <v>203</v>
      </c>
      <c r="F70" s="12">
        <v>73</v>
      </c>
      <c r="G70" s="12">
        <v>42</v>
      </c>
      <c r="H70" s="12">
        <v>1.5</v>
      </c>
      <c r="I70" s="12">
        <v>1</v>
      </c>
      <c r="J70" s="12">
        <v>1</v>
      </c>
      <c r="K70" s="42">
        <f aca="true" t="shared" si="4" ref="K70:K83">G70*H70*I70*J70</f>
        <v>63</v>
      </c>
      <c r="L70" s="12">
        <v>0.9</v>
      </c>
      <c r="M70" s="12">
        <f>K70*L70</f>
        <v>56.7</v>
      </c>
      <c r="N70" s="40"/>
    </row>
    <row r="71" spans="1:14" ht="15">
      <c r="A71" s="44">
        <v>2</v>
      </c>
      <c r="B71" s="2" t="s">
        <v>63</v>
      </c>
      <c r="C71" s="2" t="s">
        <v>190</v>
      </c>
      <c r="D71" s="2" t="s">
        <v>236</v>
      </c>
      <c r="E71" s="12" t="s">
        <v>203</v>
      </c>
      <c r="F71" s="12">
        <v>35</v>
      </c>
      <c r="G71" s="12">
        <v>42</v>
      </c>
      <c r="H71" s="12">
        <v>1</v>
      </c>
      <c r="I71" s="12">
        <v>1</v>
      </c>
      <c r="J71" s="12">
        <v>0.8</v>
      </c>
      <c r="K71" s="42">
        <f t="shared" si="4"/>
        <v>33.6</v>
      </c>
      <c r="L71" s="12">
        <v>0.9</v>
      </c>
      <c r="M71" s="12">
        <f aca="true" t="shared" si="5" ref="M71:M83">K71*L71</f>
        <v>30.240000000000002</v>
      </c>
      <c r="N71" s="40"/>
    </row>
    <row r="72" spans="1:14" ht="15">
      <c r="A72" s="44">
        <v>3</v>
      </c>
      <c r="B72" s="2" t="s">
        <v>63</v>
      </c>
      <c r="C72" s="2" t="s">
        <v>227</v>
      </c>
      <c r="D72" s="2" t="s">
        <v>237</v>
      </c>
      <c r="E72" s="12" t="s">
        <v>203</v>
      </c>
      <c r="F72" s="12">
        <v>108</v>
      </c>
      <c r="G72" s="12">
        <v>32</v>
      </c>
      <c r="H72" s="12">
        <v>1.7</v>
      </c>
      <c r="I72" s="12">
        <v>1</v>
      </c>
      <c r="J72" s="12">
        <v>1</v>
      </c>
      <c r="K72" s="42">
        <f t="shared" si="4"/>
        <v>54.4</v>
      </c>
      <c r="L72" s="12">
        <v>0.9</v>
      </c>
      <c r="M72" s="12">
        <f t="shared" si="5"/>
        <v>48.96</v>
      </c>
      <c r="N72" s="40"/>
    </row>
    <row r="73" spans="1:14" ht="15">
      <c r="A73" s="44">
        <v>4</v>
      </c>
      <c r="B73" s="2" t="s">
        <v>30</v>
      </c>
      <c r="C73" s="2" t="s">
        <v>228</v>
      </c>
      <c r="D73" s="2" t="s">
        <v>235</v>
      </c>
      <c r="E73" s="12" t="s">
        <v>203</v>
      </c>
      <c r="F73" s="12">
        <v>73</v>
      </c>
      <c r="G73" s="12">
        <v>32</v>
      </c>
      <c r="H73" s="12">
        <v>1.5</v>
      </c>
      <c r="I73" s="12">
        <v>1</v>
      </c>
      <c r="J73" s="12">
        <v>1</v>
      </c>
      <c r="K73" s="42">
        <f t="shared" si="4"/>
        <v>48</v>
      </c>
      <c r="L73" s="12">
        <v>1.05</v>
      </c>
      <c r="M73" s="12">
        <f t="shared" si="5"/>
        <v>50.400000000000006</v>
      </c>
      <c r="N73" s="40"/>
    </row>
    <row r="74" spans="1:14" ht="15">
      <c r="A74" s="44">
        <v>5</v>
      </c>
      <c r="B74" s="2" t="s">
        <v>30</v>
      </c>
      <c r="C74" s="2" t="s">
        <v>228</v>
      </c>
      <c r="D74" s="2" t="s">
        <v>236</v>
      </c>
      <c r="E74" s="12" t="s">
        <v>203</v>
      </c>
      <c r="F74" s="12">
        <v>35</v>
      </c>
      <c r="G74" s="12">
        <v>32</v>
      </c>
      <c r="H74" s="12">
        <v>1</v>
      </c>
      <c r="I74" s="12">
        <v>1</v>
      </c>
      <c r="J74" s="12">
        <v>0.8</v>
      </c>
      <c r="K74" s="42">
        <f t="shared" si="4"/>
        <v>25.6</v>
      </c>
      <c r="L74" s="12">
        <v>1.05</v>
      </c>
      <c r="M74" s="12">
        <f t="shared" si="5"/>
        <v>26.880000000000003</v>
      </c>
      <c r="N74" s="40"/>
    </row>
    <row r="75" spans="1:14" ht="15">
      <c r="A75" s="44">
        <v>6</v>
      </c>
      <c r="B75" s="2" t="s">
        <v>30</v>
      </c>
      <c r="C75" s="2" t="s">
        <v>229</v>
      </c>
      <c r="D75" s="2" t="s">
        <v>237</v>
      </c>
      <c r="E75" s="12" t="s">
        <v>203</v>
      </c>
      <c r="F75" s="12">
        <v>108</v>
      </c>
      <c r="G75" s="12">
        <v>45</v>
      </c>
      <c r="H75" s="12">
        <v>1.7</v>
      </c>
      <c r="I75" s="12">
        <v>1</v>
      </c>
      <c r="J75" s="12">
        <v>1</v>
      </c>
      <c r="K75" s="42">
        <f t="shared" si="4"/>
        <v>76.5</v>
      </c>
      <c r="L75" s="12">
        <v>1.05</v>
      </c>
      <c r="M75" s="12">
        <f t="shared" si="5"/>
        <v>80.325</v>
      </c>
      <c r="N75" s="40"/>
    </row>
    <row r="76" spans="1:14" ht="15">
      <c r="A76" s="44">
        <v>7</v>
      </c>
      <c r="B76" s="2" t="s">
        <v>29</v>
      </c>
      <c r="C76" s="35" t="s">
        <v>292</v>
      </c>
      <c r="D76" s="2" t="s">
        <v>237</v>
      </c>
      <c r="E76" s="12" t="s">
        <v>203</v>
      </c>
      <c r="F76" s="12">
        <v>108</v>
      </c>
      <c r="G76" s="12">
        <v>12</v>
      </c>
      <c r="H76" s="12">
        <v>1.7</v>
      </c>
      <c r="I76" s="12">
        <v>1</v>
      </c>
      <c r="J76" s="12">
        <v>1</v>
      </c>
      <c r="K76" s="42">
        <f t="shared" si="4"/>
        <v>20.4</v>
      </c>
      <c r="L76" s="12">
        <v>1.4</v>
      </c>
      <c r="M76" s="12">
        <f t="shared" si="5"/>
        <v>28.559999999999995</v>
      </c>
      <c r="N76" s="41" t="s">
        <v>245</v>
      </c>
    </row>
    <row r="77" spans="1:14" ht="15">
      <c r="A77" s="44">
        <v>8</v>
      </c>
      <c r="B77" s="2" t="s">
        <v>29</v>
      </c>
      <c r="C77" s="2" t="s">
        <v>230</v>
      </c>
      <c r="D77" s="2" t="s">
        <v>237</v>
      </c>
      <c r="E77" s="12" t="s">
        <v>203</v>
      </c>
      <c r="F77" s="12">
        <v>108</v>
      </c>
      <c r="G77" s="12">
        <v>48</v>
      </c>
      <c r="H77" s="12">
        <v>1.7</v>
      </c>
      <c r="I77" s="12">
        <v>1</v>
      </c>
      <c r="J77" s="12">
        <v>1</v>
      </c>
      <c r="K77" s="42">
        <f t="shared" si="4"/>
        <v>81.6</v>
      </c>
      <c r="L77" s="12">
        <v>1.4</v>
      </c>
      <c r="M77" s="12">
        <f t="shared" si="5"/>
        <v>114.23999999999998</v>
      </c>
      <c r="N77" s="40"/>
    </row>
    <row r="78" spans="1:14" ht="15">
      <c r="A78" s="44">
        <v>9</v>
      </c>
      <c r="B78" s="2" t="s">
        <v>66</v>
      </c>
      <c r="C78" s="2" t="s">
        <v>231</v>
      </c>
      <c r="D78" s="2" t="s">
        <v>235</v>
      </c>
      <c r="E78" s="12" t="s">
        <v>203</v>
      </c>
      <c r="F78" s="12">
        <v>73</v>
      </c>
      <c r="G78" s="12">
        <v>32</v>
      </c>
      <c r="H78" s="12">
        <v>1.5</v>
      </c>
      <c r="I78" s="12">
        <v>1</v>
      </c>
      <c r="J78" s="12">
        <v>1</v>
      </c>
      <c r="K78" s="42">
        <f t="shared" si="4"/>
        <v>48</v>
      </c>
      <c r="L78" s="12">
        <v>1.05</v>
      </c>
      <c r="M78" s="12">
        <f t="shared" si="5"/>
        <v>50.400000000000006</v>
      </c>
      <c r="N78" s="40"/>
    </row>
    <row r="79" spans="1:14" ht="15">
      <c r="A79" s="44">
        <v>10</v>
      </c>
      <c r="B79" s="2" t="s">
        <v>66</v>
      </c>
      <c r="C79" s="2" t="s">
        <v>231</v>
      </c>
      <c r="D79" s="2" t="s">
        <v>236</v>
      </c>
      <c r="E79" s="12" t="s">
        <v>203</v>
      </c>
      <c r="F79" s="12">
        <v>35</v>
      </c>
      <c r="G79" s="12">
        <v>32</v>
      </c>
      <c r="H79" s="12">
        <v>1</v>
      </c>
      <c r="I79" s="12">
        <v>1</v>
      </c>
      <c r="J79" s="12">
        <v>0.8</v>
      </c>
      <c r="K79" s="42">
        <f t="shared" si="4"/>
        <v>25.6</v>
      </c>
      <c r="L79" s="12">
        <v>1.05</v>
      </c>
      <c r="M79" s="12">
        <f t="shared" si="5"/>
        <v>26.880000000000003</v>
      </c>
      <c r="N79" s="40"/>
    </row>
    <row r="80" spans="1:14" ht="15">
      <c r="A80" s="44">
        <v>11</v>
      </c>
      <c r="B80" s="2" t="s">
        <v>66</v>
      </c>
      <c r="C80" s="2" t="s">
        <v>222</v>
      </c>
      <c r="D80" s="2" t="s">
        <v>238</v>
      </c>
      <c r="E80" s="12" t="s">
        <v>203</v>
      </c>
      <c r="F80" s="12">
        <v>90</v>
      </c>
      <c r="G80" s="12">
        <v>32</v>
      </c>
      <c r="H80" s="12">
        <v>1.5</v>
      </c>
      <c r="I80" s="12">
        <v>1</v>
      </c>
      <c r="J80" s="12">
        <v>1</v>
      </c>
      <c r="K80" s="42">
        <f t="shared" si="4"/>
        <v>48</v>
      </c>
      <c r="L80" s="12">
        <v>1.05</v>
      </c>
      <c r="M80" s="12">
        <f t="shared" si="5"/>
        <v>50.400000000000006</v>
      </c>
      <c r="N80" s="40"/>
    </row>
    <row r="81" spans="1:14" ht="15">
      <c r="A81" s="44">
        <v>12</v>
      </c>
      <c r="B81" s="2" t="s">
        <v>64</v>
      </c>
      <c r="C81" s="2" t="s">
        <v>232</v>
      </c>
      <c r="D81" s="2" t="s">
        <v>237</v>
      </c>
      <c r="E81" s="12" t="s">
        <v>203</v>
      </c>
      <c r="F81" s="12">
        <v>108</v>
      </c>
      <c r="G81" s="12">
        <v>32</v>
      </c>
      <c r="H81" s="12">
        <v>1.7</v>
      </c>
      <c r="I81" s="12">
        <v>1</v>
      </c>
      <c r="J81" s="12">
        <v>1</v>
      </c>
      <c r="K81" s="42">
        <f t="shared" si="4"/>
        <v>54.4</v>
      </c>
      <c r="L81" s="12">
        <v>1.2</v>
      </c>
      <c r="M81" s="12">
        <f t="shared" si="5"/>
        <v>65.28</v>
      </c>
      <c r="N81" s="40"/>
    </row>
    <row r="82" spans="1:14" ht="15">
      <c r="A82" s="44">
        <v>13</v>
      </c>
      <c r="B82" s="2" t="s">
        <v>64</v>
      </c>
      <c r="C82" s="2" t="s">
        <v>233</v>
      </c>
      <c r="D82" s="2" t="s">
        <v>238</v>
      </c>
      <c r="E82" s="12" t="s">
        <v>203</v>
      </c>
      <c r="F82" s="12">
        <v>90</v>
      </c>
      <c r="G82" s="12">
        <v>48</v>
      </c>
      <c r="H82" s="12">
        <v>1.5</v>
      </c>
      <c r="I82" s="12">
        <v>1</v>
      </c>
      <c r="J82" s="12">
        <v>1</v>
      </c>
      <c r="K82" s="42">
        <f t="shared" si="4"/>
        <v>72</v>
      </c>
      <c r="L82" s="12">
        <v>1.2</v>
      </c>
      <c r="M82" s="12">
        <f t="shared" si="5"/>
        <v>86.39999999999999</v>
      </c>
      <c r="N82" s="40"/>
    </row>
    <row r="83" spans="1:14" ht="15">
      <c r="A83" s="44">
        <v>14</v>
      </c>
      <c r="B83" s="2" t="s">
        <v>31</v>
      </c>
      <c r="C83" s="2" t="s">
        <v>234</v>
      </c>
      <c r="D83" s="2" t="s">
        <v>238</v>
      </c>
      <c r="E83" s="12" t="s">
        <v>203</v>
      </c>
      <c r="F83" s="12">
        <v>90</v>
      </c>
      <c r="G83" s="12">
        <v>32</v>
      </c>
      <c r="H83" s="12">
        <v>1.5</v>
      </c>
      <c r="I83" s="12">
        <v>1</v>
      </c>
      <c r="J83" s="12">
        <v>1</v>
      </c>
      <c r="K83" s="42">
        <f t="shared" si="4"/>
        <v>48</v>
      </c>
      <c r="L83" s="12">
        <v>1.2</v>
      </c>
      <c r="M83" s="12">
        <f t="shared" si="5"/>
        <v>57.599999999999994</v>
      </c>
      <c r="N83" s="40"/>
    </row>
    <row r="84" spans="1:14" ht="14.25">
      <c r="A84" s="125" t="s">
        <v>207</v>
      </c>
      <c r="B84" s="125"/>
      <c r="C84" s="125"/>
      <c r="D84" s="40"/>
      <c r="E84" s="42"/>
      <c r="F84" s="42"/>
      <c r="G84" s="40"/>
      <c r="H84" s="12"/>
      <c r="I84" s="12"/>
      <c r="J84" s="12"/>
      <c r="K84" s="12">
        <f>SUM(K70:K83)</f>
        <v>699.1</v>
      </c>
      <c r="L84" s="12"/>
      <c r="M84" s="12">
        <f>SUM(M70:M83)</f>
        <v>773.2649999999999</v>
      </c>
      <c r="N84" s="40"/>
    </row>
    <row r="86" spans="1:11" ht="14.25">
      <c r="A86" s="9" t="s">
        <v>209</v>
      </c>
      <c r="B86" s="9"/>
      <c r="C86" s="9"/>
      <c r="D86" s="60" t="s">
        <v>338</v>
      </c>
      <c r="F86" s="3"/>
      <c r="H86"/>
      <c r="I86" s="10" t="s">
        <v>337</v>
      </c>
      <c r="K86" s="60" t="s">
        <v>320</v>
      </c>
    </row>
    <row r="97" ht="20.25">
      <c r="C97" s="1" t="s">
        <v>326</v>
      </c>
    </row>
    <row r="98" spans="4:6" ht="20.25">
      <c r="D98" s="1"/>
      <c r="E98" s="11"/>
      <c r="F98" s="11"/>
    </row>
    <row r="99" spans="1:14" ht="27">
      <c r="A99" s="4" t="s">
        <v>0</v>
      </c>
      <c r="B99" s="4" t="s">
        <v>5</v>
      </c>
      <c r="C99" s="4" t="s">
        <v>1</v>
      </c>
      <c r="D99" s="4" t="s">
        <v>2</v>
      </c>
      <c r="E99" s="5" t="s">
        <v>53</v>
      </c>
      <c r="F99" s="4" t="s">
        <v>149</v>
      </c>
      <c r="G99" s="4" t="s">
        <v>328</v>
      </c>
      <c r="H99" s="4" t="s">
        <v>150</v>
      </c>
      <c r="I99" s="6" t="s">
        <v>151</v>
      </c>
      <c r="J99" s="7" t="s">
        <v>152</v>
      </c>
      <c r="K99" s="8" t="s">
        <v>51</v>
      </c>
      <c r="L99" s="8" t="s">
        <v>50</v>
      </c>
      <c r="M99" s="4" t="s">
        <v>61</v>
      </c>
      <c r="N99" s="4" t="s">
        <v>52</v>
      </c>
    </row>
    <row r="100" spans="1:14" ht="15">
      <c r="A100" s="44">
        <v>1</v>
      </c>
      <c r="B100" s="2" t="s">
        <v>24</v>
      </c>
      <c r="C100" s="2" t="s">
        <v>248</v>
      </c>
      <c r="D100" s="2" t="s">
        <v>258</v>
      </c>
      <c r="E100" s="12" t="s">
        <v>203</v>
      </c>
      <c r="F100" s="12">
        <v>77</v>
      </c>
      <c r="G100" s="2">
        <v>10</v>
      </c>
      <c r="H100" s="12">
        <v>1.5</v>
      </c>
      <c r="I100" s="12">
        <v>1</v>
      </c>
      <c r="J100" s="12">
        <v>1</v>
      </c>
      <c r="K100" s="42">
        <f aca="true" t="shared" si="6" ref="K100:K112">G100*H100*I100*J100</f>
        <v>15</v>
      </c>
      <c r="L100" s="12">
        <v>1.05</v>
      </c>
      <c r="M100" s="12">
        <f>K100*L100</f>
        <v>15.75</v>
      </c>
      <c r="N100" s="41" t="s">
        <v>245</v>
      </c>
    </row>
    <row r="101" spans="1:14" ht="15">
      <c r="A101" s="44">
        <v>2</v>
      </c>
      <c r="B101" s="2" t="s">
        <v>24</v>
      </c>
      <c r="C101" s="2" t="s">
        <v>249</v>
      </c>
      <c r="D101" s="2" t="s">
        <v>258</v>
      </c>
      <c r="E101" s="12" t="s">
        <v>203</v>
      </c>
      <c r="F101" s="12">
        <v>77</v>
      </c>
      <c r="G101" s="2">
        <v>60</v>
      </c>
      <c r="H101" s="12">
        <v>1.5</v>
      </c>
      <c r="I101" s="12">
        <v>1</v>
      </c>
      <c r="J101" s="12">
        <v>1</v>
      </c>
      <c r="K101" s="42">
        <f t="shared" si="6"/>
        <v>90</v>
      </c>
      <c r="L101" s="12">
        <v>1.05</v>
      </c>
      <c r="M101" s="12">
        <f aca="true" t="shared" si="7" ref="M101:M112">K101*L101</f>
        <v>94.5</v>
      </c>
      <c r="N101" s="41" t="s">
        <v>315</v>
      </c>
    </row>
    <row r="102" spans="1:14" ht="15">
      <c r="A102" s="44">
        <v>3</v>
      </c>
      <c r="B102" s="2" t="s">
        <v>119</v>
      </c>
      <c r="C102" s="2" t="s">
        <v>250</v>
      </c>
      <c r="D102" s="2" t="s">
        <v>258</v>
      </c>
      <c r="E102" s="12" t="s">
        <v>203</v>
      </c>
      <c r="F102" s="12">
        <v>77</v>
      </c>
      <c r="G102" s="2">
        <v>45</v>
      </c>
      <c r="H102" s="12">
        <v>1.5</v>
      </c>
      <c r="I102" s="12">
        <v>1</v>
      </c>
      <c r="J102" s="12">
        <v>1</v>
      </c>
      <c r="K102" s="42">
        <f t="shared" si="6"/>
        <v>67.5</v>
      </c>
      <c r="L102" s="12">
        <v>1.05</v>
      </c>
      <c r="M102" s="53">
        <f t="shared" si="7"/>
        <v>70.875</v>
      </c>
      <c r="N102" s="45"/>
    </row>
    <row r="103" spans="1:14" ht="15">
      <c r="A103" s="44">
        <v>4</v>
      </c>
      <c r="B103" s="2" t="s">
        <v>28</v>
      </c>
      <c r="C103" s="2" t="s">
        <v>251</v>
      </c>
      <c r="D103" s="2" t="s">
        <v>259</v>
      </c>
      <c r="E103" s="12" t="s">
        <v>203</v>
      </c>
      <c r="F103" s="12">
        <v>79</v>
      </c>
      <c r="G103" s="2">
        <v>30</v>
      </c>
      <c r="H103" s="12">
        <v>1.5</v>
      </c>
      <c r="I103" s="12">
        <v>1</v>
      </c>
      <c r="J103" s="12">
        <v>1</v>
      </c>
      <c r="K103" s="42">
        <f t="shared" si="6"/>
        <v>45</v>
      </c>
      <c r="L103" s="12">
        <v>1.2</v>
      </c>
      <c r="M103" s="12">
        <f t="shared" si="7"/>
        <v>54</v>
      </c>
      <c r="N103" s="45"/>
    </row>
    <row r="104" spans="1:14" ht="15">
      <c r="A104" s="44">
        <v>5</v>
      </c>
      <c r="B104" s="2" t="s">
        <v>90</v>
      </c>
      <c r="C104" s="2" t="s">
        <v>252</v>
      </c>
      <c r="D104" s="2" t="s">
        <v>258</v>
      </c>
      <c r="E104" s="12" t="s">
        <v>203</v>
      </c>
      <c r="F104" s="12">
        <v>77</v>
      </c>
      <c r="G104" s="2">
        <v>60</v>
      </c>
      <c r="H104" s="12">
        <v>1.5</v>
      </c>
      <c r="I104" s="12">
        <v>1</v>
      </c>
      <c r="J104" s="12">
        <v>1</v>
      </c>
      <c r="K104" s="42">
        <f t="shared" si="6"/>
        <v>90</v>
      </c>
      <c r="L104" s="12">
        <v>1.2</v>
      </c>
      <c r="M104" s="12">
        <f t="shared" si="7"/>
        <v>108</v>
      </c>
      <c r="N104" s="45"/>
    </row>
    <row r="105" spans="1:14" ht="15">
      <c r="A105" s="44">
        <v>6</v>
      </c>
      <c r="B105" s="2" t="s">
        <v>26</v>
      </c>
      <c r="C105" s="2" t="s">
        <v>253</v>
      </c>
      <c r="D105" s="2" t="s">
        <v>260</v>
      </c>
      <c r="E105" s="12" t="s">
        <v>203</v>
      </c>
      <c r="F105" s="12">
        <v>105</v>
      </c>
      <c r="G105" s="2">
        <v>28</v>
      </c>
      <c r="H105" s="12">
        <v>1.7</v>
      </c>
      <c r="I105" s="12">
        <v>1</v>
      </c>
      <c r="J105" s="12">
        <v>1</v>
      </c>
      <c r="K105" s="42">
        <f t="shared" si="6"/>
        <v>47.6</v>
      </c>
      <c r="L105" s="12">
        <v>1.2</v>
      </c>
      <c r="M105" s="12">
        <f t="shared" si="7"/>
        <v>57.12</v>
      </c>
      <c r="N105" s="45"/>
    </row>
    <row r="106" spans="1:14" ht="15">
      <c r="A106" s="44">
        <v>7</v>
      </c>
      <c r="B106" s="2" t="s">
        <v>62</v>
      </c>
      <c r="C106" s="2" t="s">
        <v>254</v>
      </c>
      <c r="D106" s="2" t="s">
        <v>258</v>
      </c>
      <c r="E106" s="12" t="s">
        <v>203</v>
      </c>
      <c r="F106" s="12">
        <v>77</v>
      </c>
      <c r="G106" s="2">
        <v>60</v>
      </c>
      <c r="H106" s="12">
        <v>1.5</v>
      </c>
      <c r="I106" s="12">
        <v>1</v>
      </c>
      <c r="J106" s="12">
        <v>1</v>
      </c>
      <c r="K106" s="42">
        <f t="shared" si="6"/>
        <v>90</v>
      </c>
      <c r="L106" s="12">
        <v>1.4</v>
      </c>
      <c r="M106" s="12">
        <f t="shared" si="7"/>
        <v>125.99999999999999</v>
      </c>
      <c r="N106" s="45"/>
    </row>
    <row r="107" spans="1:14" ht="15">
      <c r="A107" s="44">
        <v>8</v>
      </c>
      <c r="B107" s="2" t="s">
        <v>62</v>
      </c>
      <c r="C107" s="2" t="s">
        <v>228</v>
      </c>
      <c r="D107" s="2" t="s">
        <v>259</v>
      </c>
      <c r="E107" s="12" t="s">
        <v>203</v>
      </c>
      <c r="F107" s="12">
        <v>79</v>
      </c>
      <c r="G107" s="2">
        <v>30</v>
      </c>
      <c r="H107" s="12">
        <v>1.5</v>
      </c>
      <c r="I107" s="12">
        <v>1</v>
      </c>
      <c r="J107" s="12">
        <v>1</v>
      </c>
      <c r="K107" s="42">
        <f t="shared" si="6"/>
        <v>45</v>
      </c>
      <c r="L107" s="12">
        <v>1.4</v>
      </c>
      <c r="M107" s="12">
        <f t="shared" si="7"/>
        <v>62.99999999999999</v>
      </c>
      <c r="N107" s="45"/>
    </row>
    <row r="108" spans="1:14" ht="15">
      <c r="A108" s="44">
        <v>9</v>
      </c>
      <c r="B108" s="2" t="s">
        <v>62</v>
      </c>
      <c r="C108" s="2" t="s">
        <v>253</v>
      </c>
      <c r="D108" s="2" t="s">
        <v>261</v>
      </c>
      <c r="E108" s="12" t="s">
        <v>203</v>
      </c>
      <c r="F108" s="12">
        <v>77</v>
      </c>
      <c r="G108" s="2">
        <v>30</v>
      </c>
      <c r="H108" s="12">
        <v>1.5</v>
      </c>
      <c r="I108" s="12">
        <v>1</v>
      </c>
      <c r="J108" s="12">
        <v>1</v>
      </c>
      <c r="K108" s="42">
        <f t="shared" si="6"/>
        <v>45</v>
      </c>
      <c r="L108" s="12">
        <v>1.4</v>
      </c>
      <c r="M108" s="12">
        <f t="shared" si="7"/>
        <v>62.99999999999999</v>
      </c>
      <c r="N108" s="45"/>
    </row>
    <row r="109" spans="1:14" ht="15">
      <c r="A109" s="44">
        <v>10</v>
      </c>
      <c r="B109" s="2" t="s">
        <v>256</v>
      </c>
      <c r="C109" s="2" t="s">
        <v>255</v>
      </c>
      <c r="D109" s="2" t="s">
        <v>258</v>
      </c>
      <c r="E109" s="12" t="s">
        <v>203</v>
      </c>
      <c r="F109" s="12">
        <v>77</v>
      </c>
      <c r="G109" s="2">
        <v>30</v>
      </c>
      <c r="H109" s="12">
        <v>1.5</v>
      </c>
      <c r="I109" s="12">
        <v>1</v>
      </c>
      <c r="J109" s="12">
        <v>1</v>
      </c>
      <c r="K109" s="42">
        <f t="shared" si="6"/>
        <v>45</v>
      </c>
      <c r="L109" s="12">
        <v>0.9</v>
      </c>
      <c r="M109" s="12">
        <f t="shared" si="7"/>
        <v>40.5</v>
      </c>
      <c r="N109" s="45"/>
    </row>
    <row r="110" spans="1:14" ht="15">
      <c r="A110" s="44">
        <v>11</v>
      </c>
      <c r="B110" s="2" t="s">
        <v>25</v>
      </c>
      <c r="C110" s="2" t="s">
        <v>257</v>
      </c>
      <c r="D110" s="2" t="s">
        <v>262</v>
      </c>
      <c r="E110" s="12" t="s">
        <v>203</v>
      </c>
      <c r="F110" s="12">
        <v>28</v>
      </c>
      <c r="G110" s="2">
        <v>34</v>
      </c>
      <c r="H110" s="12">
        <v>0.9</v>
      </c>
      <c r="I110" s="12">
        <v>1</v>
      </c>
      <c r="J110" s="12">
        <v>1</v>
      </c>
      <c r="K110" s="42">
        <f t="shared" si="6"/>
        <v>30.6</v>
      </c>
      <c r="L110" s="12">
        <v>1.2</v>
      </c>
      <c r="M110" s="12">
        <f t="shared" si="7"/>
        <v>36.72</v>
      </c>
      <c r="N110" s="47" t="s">
        <v>265</v>
      </c>
    </row>
    <row r="111" spans="1:14" ht="15">
      <c r="A111" s="44">
        <v>12</v>
      </c>
      <c r="B111" s="2" t="s">
        <v>25</v>
      </c>
      <c r="C111" s="2" t="s">
        <v>253</v>
      </c>
      <c r="D111" s="2" t="s">
        <v>264</v>
      </c>
      <c r="E111" s="12" t="s">
        <v>203</v>
      </c>
      <c r="F111" s="12">
        <v>38</v>
      </c>
      <c r="G111" s="2">
        <v>30</v>
      </c>
      <c r="H111" s="12">
        <v>1</v>
      </c>
      <c r="I111" s="12">
        <v>1</v>
      </c>
      <c r="J111" s="12">
        <v>1</v>
      </c>
      <c r="K111" s="42">
        <f t="shared" si="6"/>
        <v>30</v>
      </c>
      <c r="L111" s="12">
        <v>1.2</v>
      </c>
      <c r="M111" s="12">
        <f t="shared" si="7"/>
        <v>36</v>
      </c>
      <c r="N111" s="47"/>
    </row>
    <row r="112" spans="1:14" ht="15">
      <c r="A112" s="44">
        <v>13</v>
      </c>
      <c r="B112" s="2" t="s">
        <v>25</v>
      </c>
      <c r="C112" s="2" t="s">
        <v>253</v>
      </c>
      <c r="D112" s="2" t="s">
        <v>263</v>
      </c>
      <c r="E112" s="12" t="s">
        <v>203</v>
      </c>
      <c r="F112" s="12">
        <v>37</v>
      </c>
      <c r="G112" s="2">
        <v>22</v>
      </c>
      <c r="H112" s="12">
        <v>1</v>
      </c>
      <c r="I112" s="12">
        <v>1</v>
      </c>
      <c r="J112" s="12">
        <v>0.8</v>
      </c>
      <c r="K112" s="42">
        <f t="shared" si="6"/>
        <v>17.6</v>
      </c>
      <c r="L112" s="12">
        <v>1.2</v>
      </c>
      <c r="M112" s="12">
        <f t="shared" si="7"/>
        <v>21.12</v>
      </c>
      <c r="N112" s="45"/>
    </row>
    <row r="113" spans="1:14" ht="14.25">
      <c r="A113" s="125" t="s">
        <v>207</v>
      </c>
      <c r="B113" s="125"/>
      <c r="C113" s="125"/>
      <c r="D113" s="40"/>
      <c r="E113" s="42"/>
      <c r="F113" s="42"/>
      <c r="G113" s="40"/>
      <c r="H113" s="42"/>
      <c r="I113" s="42"/>
      <c r="J113" s="42"/>
      <c r="K113" s="12">
        <f>SUM(K100:K112)</f>
        <v>658.3000000000001</v>
      </c>
      <c r="L113" s="12"/>
      <c r="M113" s="53">
        <f>SUM(M100:M112)</f>
        <v>786.585</v>
      </c>
      <c r="N113" s="40"/>
    </row>
    <row r="115" spans="1:11" ht="14.25">
      <c r="A115" s="9" t="s">
        <v>209</v>
      </c>
      <c r="B115" s="9"/>
      <c r="C115" s="9"/>
      <c r="D115" s="60" t="s">
        <v>338</v>
      </c>
      <c r="F115" s="3"/>
      <c r="H115"/>
      <c r="I115" s="10" t="s">
        <v>337</v>
      </c>
      <c r="K115" s="60" t="s">
        <v>320</v>
      </c>
    </row>
    <row r="128" ht="20.25">
      <c r="C128" s="1" t="s">
        <v>335</v>
      </c>
    </row>
    <row r="129" spans="4:6" ht="20.25">
      <c r="D129" s="1"/>
      <c r="E129" s="11"/>
      <c r="F129" s="11"/>
    </row>
    <row r="130" spans="1:14" ht="27">
      <c r="A130" s="4" t="s">
        <v>0</v>
      </c>
      <c r="B130" s="4" t="s">
        <v>5</v>
      </c>
      <c r="C130" s="4" t="s">
        <v>1</v>
      </c>
      <c r="D130" s="4" t="s">
        <v>2</v>
      </c>
      <c r="E130" s="5" t="s">
        <v>53</v>
      </c>
      <c r="F130" s="4" t="s">
        <v>149</v>
      </c>
      <c r="G130" s="4" t="s">
        <v>328</v>
      </c>
      <c r="H130" s="4" t="s">
        <v>150</v>
      </c>
      <c r="I130" s="6" t="s">
        <v>151</v>
      </c>
      <c r="J130" s="7" t="s">
        <v>152</v>
      </c>
      <c r="K130" s="8" t="s">
        <v>51</v>
      </c>
      <c r="L130" s="8" t="s">
        <v>50</v>
      </c>
      <c r="M130" s="4" t="s">
        <v>61</v>
      </c>
      <c r="N130" s="4" t="s">
        <v>52</v>
      </c>
    </row>
    <row r="131" spans="1:14" ht="15">
      <c r="A131" s="44">
        <v>1</v>
      </c>
      <c r="B131" s="2" t="s">
        <v>32</v>
      </c>
      <c r="C131" s="2" t="s">
        <v>266</v>
      </c>
      <c r="D131" s="2" t="s">
        <v>237</v>
      </c>
      <c r="E131" s="12" t="s">
        <v>203</v>
      </c>
      <c r="F131" s="12">
        <v>108</v>
      </c>
      <c r="G131" s="2">
        <v>32</v>
      </c>
      <c r="H131" s="12">
        <v>1.7</v>
      </c>
      <c r="I131" s="12">
        <v>1</v>
      </c>
      <c r="J131" s="12">
        <v>1</v>
      </c>
      <c r="K131" s="42">
        <f aca="true" t="shared" si="8" ref="K131:K136">G131*H131*I131*J131</f>
        <v>54.4</v>
      </c>
      <c r="L131" s="12">
        <v>1.2</v>
      </c>
      <c r="M131" s="12">
        <f aca="true" t="shared" si="9" ref="M131:M136">K131*L131</f>
        <v>65.28</v>
      </c>
      <c r="N131" s="45"/>
    </row>
    <row r="132" spans="1:14" ht="15">
      <c r="A132" s="44">
        <v>2</v>
      </c>
      <c r="B132" s="2" t="s">
        <v>32</v>
      </c>
      <c r="C132" s="2" t="s">
        <v>267</v>
      </c>
      <c r="D132" s="2" t="s">
        <v>272</v>
      </c>
      <c r="E132" s="12" t="s">
        <v>273</v>
      </c>
      <c r="F132" s="12">
        <v>71</v>
      </c>
      <c r="G132" s="2">
        <v>72</v>
      </c>
      <c r="H132" s="12">
        <v>1.5</v>
      </c>
      <c r="I132" s="12">
        <v>1</v>
      </c>
      <c r="J132" s="12">
        <v>1</v>
      </c>
      <c r="K132" s="42">
        <f t="shared" si="8"/>
        <v>108</v>
      </c>
      <c r="L132" s="12">
        <v>1.2</v>
      </c>
      <c r="M132" s="12">
        <f t="shared" si="9"/>
        <v>129.6</v>
      </c>
      <c r="N132" s="45"/>
    </row>
    <row r="133" spans="1:14" ht="15">
      <c r="A133" s="44">
        <v>3</v>
      </c>
      <c r="B133" s="2" t="s">
        <v>56</v>
      </c>
      <c r="C133" s="2" t="s">
        <v>268</v>
      </c>
      <c r="D133" s="2" t="s">
        <v>274</v>
      </c>
      <c r="E133" s="12" t="s">
        <v>273</v>
      </c>
      <c r="F133" s="12">
        <v>81</v>
      </c>
      <c r="G133" s="2">
        <v>48</v>
      </c>
      <c r="H133" s="12">
        <v>1.5</v>
      </c>
      <c r="I133" s="12">
        <v>1</v>
      </c>
      <c r="J133" s="12">
        <v>1</v>
      </c>
      <c r="K133" s="42">
        <f t="shared" si="8"/>
        <v>72</v>
      </c>
      <c r="L133" s="12">
        <v>1.2</v>
      </c>
      <c r="M133" s="12">
        <f t="shared" si="9"/>
        <v>86.39999999999999</v>
      </c>
      <c r="N133" s="45"/>
    </row>
    <row r="134" spans="1:14" ht="15">
      <c r="A134" s="44">
        <v>4</v>
      </c>
      <c r="B134" s="2" t="s">
        <v>34</v>
      </c>
      <c r="C134" s="2" t="s">
        <v>269</v>
      </c>
      <c r="D134" s="2" t="s">
        <v>274</v>
      </c>
      <c r="E134" s="12" t="s">
        <v>273</v>
      </c>
      <c r="F134" s="12">
        <v>81</v>
      </c>
      <c r="G134" s="2">
        <v>52</v>
      </c>
      <c r="H134" s="12">
        <v>1.5</v>
      </c>
      <c r="I134" s="12">
        <v>1</v>
      </c>
      <c r="J134" s="12">
        <v>1</v>
      </c>
      <c r="K134" s="42">
        <f t="shared" si="8"/>
        <v>78</v>
      </c>
      <c r="L134" s="12">
        <v>0.9</v>
      </c>
      <c r="M134" s="12">
        <f t="shared" si="9"/>
        <v>70.2</v>
      </c>
      <c r="N134" s="45"/>
    </row>
    <row r="135" spans="1:14" ht="15">
      <c r="A135" s="44">
        <v>5</v>
      </c>
      <c r="B135" s="2" t="s">
        <v>68</v>
      </c>
      <c r="C135" s="2" t="s">
        <v>270</v>
      </c>
      <c r="D135" s="2" t="s">
        <v>274</v>
      </c>
      <c r="E135" s="12" t="s">
        <v>273</v>
      </c>
      <c r="F135" s="12">
        <v>81</v>
      </c>
      <c r="G135" s="2">
        <v>56</v>
      </c>
      <c r="H135" s="12">
        <v>1.5</v>
      </c>
      <c r="I135" s="12">
        <v>1</v>
      </c>
      <c r="J135" s="12">
        <v>1</v>
      </c>
      <c r="K135" s="42">
        <f t="shared" si="8"/>
        <v>84</v>
      </c>
      <c r="L135" s="12">
        <v>1.2</v>
      </c>
      <c r="M135" s="12">
        <f t="shared" si="9"/>
        <v>100.8</v>
      </c>
      <c r="N135" s="45"/>
    </row>
    <row r="136" spans="1:14" ht="15">
      <c r="A136" s="44">
        <v>6</v>
      </c>
      <c r="B136" s="2" t="s">
        <v>33</v>
      </c>
      <c r="C136" s="2" t="s">
        <v>271</v>
      </c>
      <c r="D136" s="2" t="s">
        <v>274</v>
      </c>
      <c r="E136" s="12" t="s">
        <v>273</v>
      </c>
      <c r="F136" s="12">
        <v>81</v>
      </c>
      <c r="G136" s="2">
        <v>52</v>
      </c>
      <c r="H136" s="12">
        <v>1.5</v>
      </c>
      <c r="I136" s="12">
        <v>1</v>
      </c>
      <c r="J136" s="12">
        <v>1</v>
      </c>
      <c r="K136" s="42">
        <f t="shared" si="8"/>
        <v>78</v>
      </c>
      <c r="L136" s="12">
        <v>0.9</v>
      </c>
      <c r="M136" s="12">
        <f t="shared" si="9"/>
        <v>70.2</v>
      </c>
      <c r="N136" s="45"/>
    </row>
    <row r="137" spans="1:14" ht="14.25">
      <c r="A137" s="125" t="s">
        <v>207</v>
      </c>
      <c r="B137" s="125"/>
      <c r="C137" s="125"/>
      <c r="D137" s="40"/>
      <c r="E137" s="42"/>
      <c r="F137" s="42"/>
      <c r="G137" s="40"/>
      <c r="H137" s="42"/>
      <c r="I137" s="42"/>
      <c r="J137" s="42"/>
      <c r="K137" s="12">
        <f>SUM(K131:K136)</f>
        <v>474.4</v>
      </c>
      <c r="L137" s="12"/>
      <c r="M137" s="12">
        <f>SUM(M131:M136)</f>
        <v>522.48</v>
      </c>
      <c r="N137" s="40"/>
    </row>
    <row r="139" spans="1:11" ht="14.25">
      <c r="A139" s="9" t="s">
        <v>209</v>
      </c>
      <c r="B139" s="9"/>
      <c r="C139" s="9"/>
      <c r="D139" s="60" t="s">
        <v>338</v>
      </c>
      <c r="F139" s="3"/>
      <c r="H139"/>
      <c r="I139" s="10" t="s">
        <v>337</v>
      </c>
      <c r="K139" s="60" t="s">
        <v>320</v>
      </c>
    </row>
    <row r="159" ht="20.25">
      <c r="C159" s="1" t="s">
        <v>327</v>
      </c>
    </row>
    <row r="160" spans="4:6" ht="20.25">
      <c r="D160" s="1"/>
      <c r="E160" s="11"/>
      <c r="F160" s="11"/>
    </row>
    <row r="161" spans="1:14" ht="27">
      <c r="A161" s="4" t="s">
        <v>0</v>
      </c>
      <c r="B161" s="4" t="s">
        <v>5</v>
      </c>
      <c r="C161" s="4" t="s">
        <v>1</v>
      </c>
      <c r="D161" s="4" t="s">
        <v>2</v>
      </c>
      <c r="E161" s="5" t="s">
        <v>53</v>
      </c>
      <c r="F161" s="4" t="s">
        <v>149</v>
      </c>
      <c r="G161" s="4" t="s">
        <v>328</v>
      </c>
      <c r="H161" s="4" t="s">
        <v>150</v>
      </c>
      <c r="I161" s="6" t="s">
        <v>151</v>
      </c>
      <c r="J161" s="7" t="s">
        <v>152</v>
      </c>
      <c r="K161" s="8" t="s">
        <v>51</v>
      </c>
      <c r="L161" s="8" t="s">
        <v>50</v>
      </c>
      <c r="M161" s="4" t="s">
        <v>61</v>
      </c>
      <c r="N161" s="4" t="s">
        <v>52</v>
      </c>
    </row>
    <row r="162" spans="1:14" ht="14.25">
      <c r="A162" s="37">
        <v>1</v>
      </c>
      <c r="B162" s="38" t="s">
        <v>103</v>
      </c>
      <c r="C162" s="38" t="s">
        <v>277</v>
      </c>
      <c r="D162" s="38" t="s">
        <v>278</v>
      </c>
      <c r="E162" s="14" t="s">
        <v>279</v>
      </c>
      <c r="F162" s="14"/>
      <c r="G162" s="37">
        <v>64</v>
      </c>
      <c r="H162" s="14">
        <v>1</v>
      </c>
      <c r="I162" s="14">
        <v>1</v>
      </c>
      <c r="J162" s="14">
        <v>1</v>
      </c>
      <c r="K162" s="42">
        <f>G162*H162*I162*J162</f>
        <v>64</v>
      </c>
      <c r="L162" s="14">
        <v>0.9</v>
      </c>
      <c r="M162" s="14">
        <f>K162*L162</f>
        <v>57.6</v>
      </c>
      <c r="N162" s="13"/>
    </row>
    <row r="163" spans="1:14" ht="14.25">
      <c r="A163" s="125" t="s">
        <v>207</v>
      </c>
      <c r="B163" s="125"/>
      <c r="C163" s="125"/>
      <c r="D163" s="40"/>
      <c r="E163" s="42"/>
      <c r="F163" s="42"/>
      <c r="G163" s="40"/>
      <c r="H163" s="42"/>
      <c r="I163" s="42"/>
      <c r="J163" s="42"/>
      <c r="K163" s="12">
        <f>SUM(K162)</f>
        <v>64</v>
      </c>
      <c r="L163" s="12"/>
      <c r="M163" s="12">
        <f>SUM(M162)</f>
        <v>57.6</v>
      </c>
      <c r="N163" s="40"/>
    </row>
    <row r="165" spans="1:11" ht="14.25">
      <c r="A165" s="9" t="s">
        <v>209</v>
      </c>
      <c r="B165" s="9"/>
      <c r="C165" s="9"/>
      <c r="D165" s="60" t="s">
        <v>338</v>
      </c>
      <c r="F165" s="3"/>
      <c r="H165"/>
      <c r="I165" s="10" t="s">
        <v>337</v>
      </c>
      <c r="K165" s="60" t="s">
        <v>320</v>
      </c>
    </row>
    <row r="190" ht="20.25">
      <c r="C190" s="1" t="s">
        <v>336</v>
      </c>
    </row>
    <row r="191" spans="4:6" ht="20.25">
      <c r="D191" s="1"/>
      <c r="E191" s="11"/>
      <c r="F191" s="11"/>
    </row>
    <row r="192" spans="1:14" ht="27">
      <c r="A192" s="4" t="s">
        <v>0</v>
      </c>
      <c r="B192" s="4" t="s">
        <v>5</v>
      </c>
      <c r="C192" s="4" t="s">
        <v>1</v>
      </c>
      <c r="D192" s="4" t="s">
        <v>2</v>
      </c>
      <c r="E192" s="5" t="s">
        <v>53</v>
      </c>
      <c r="F192" s="4" t="s">
        <v>149</v>
      </c>
      <c r="G192" s="4" t="s">
        <v>328</v>
      </c>
      <c r="H192" s="4" t="s">
        <v>150</v>
      </c>
      <c r="I192" s="6" t="s">
        <v>151</v>
      </c>
      <c r="J192" s="7" t="s">
        <v>152</v>
      </c>
      <c r="K192" s="8" t="s">
        <v>51</v>
      </c>
      <c r="L192" s="8" t="s">
        <v>50</v>
      </c>
      <c r="M192" s="4" t="s">
        <v>61</v>
      </c>
      <c r="N192" s="4" t="s">
        <v>52</v>
      </c>
    </row>
    <row r="193" spans="1:14" ht="15">
      <c r="A193" s="44">
        <v>1</v>
      </c>
      <c r="B193" s="2" t="s">
        <v>55</v>
      </c>
      <c r="C193" s="2" t="s">
        <v>281</v>
      </c>
      <c r="D193" s="2" t="s">
        <v>286</v>
      </c>
      <c r="E193" s="12" t="s">
        <v>279</v>
      </c>
      <c r="F193" s="12">
        <v>97</v>
      </c>
      <c r="G193" s="12">
        <v>60</v>
      </c>
      <c r="H193" s="12">
        <v>1.57</v>
      </c>
      <c r="I193" s="12">
        <v>1</v>
      </c>
      <c r="J193" s="12">
        <v>1</v>
      </c>
      <c r="K193" s="42">
        <f aca="true" t="shared" si="10" ref="K193:K198">G193*H193*I193*J193</f>
        <v>94.2</v>
      </c>
      <c r="L193" s="12">
        <v>1.2</v>
      </c>
      <c r="M193" s="12">
        <f aca="true" t="shared" si="11" ref="M193:M198">K193*L193</f>
        <v>113.04</v>
      </c>
      <c r="N193" s="46" t="s">
        <v>291</v>
      </c>
    </row>
    <row r="194" spans="1:14" ht="15">
      <c r="A194" s="44">
        <v>2</v>
      </c>
      <c r="B194" s="2" t="s">
        <v>55</v>
      </c>
      <c r="C194" s="2" t="s">
        <v>282</v>
      </c>
      <c r="D194" s="2" t="s">
        <v>287</v>
      </c>
      <c r="E194" s="12" t="s">
        <v>279</v>
      </c>
      <c r="F194" s="12">
        <v>79</v>
      </c>
      <c r="G194" s="12">
        <v>42</v>
      </c>
      <c r="H194" s="12">
        <v>1.5</v>
      </c>
      <c r="I194" s="12">
        <v>1</v>
      </c>
      <c r="J194" s="12">
        <v>0.8</v>
      </c>
      <c r="K194" s="42">
        <f t="shared" si="10"/>
        <v>50.400000000000006</v>
      </c>
      <c r="L194" s="12">
        <v>1.2</v>
      </c>
      <c r="M194" s="12">
        <f t="shared" si="11"/>
        <v>60.480000000000004</v>
      </c>
      <c r="N194" s="45"/>
    </row>
    <row r="195" spans="1:14" ht="15">
      <c r="A195" s="44">
        <v>3</v>
      </c>
      <c r="B195" s="2" t="s">
        <v>37</v>
      </c>
      <c r="C195" s="2" t="s">
        <v>282</v>
      </c>
      <c r="D195" s="2" t="s">
        <v>259</v>
      </c>
      <c r="E195" s="12" t="s">
        <v>279</v>
      </c>
      <c r="F195" s="12">
        <v>79</v>
      </c>
      <c r="G195" s="12">
        <v>45</v>
      </c>
      <c r="H195" s="12">
        <v>1.5</v>
      </c>
      <c r="I195" s="12">
        <v>1</v>
      </c>
      <c r="J195" s="12">
        <v>1</v>
      </c>
      <c r="K195" s="42">
        <f t="shared" si="10"/>
        <v>67.5</v>
      </c>
      <c r="L195" s="12">
        <v>1.05</v>
      </c>
      <c r="M195" s="53">
        <f t="shared" si="11"/>
        <v>70.875</v>
      </c>
      <c r="N195" s="45"/>
    </row>
    <row r="196" spans="1:14" ht="15">
      <c r="A196" s="44">
        <v>4</v>
      </c>
      <c r="B196" s="2" t="s">
        <v>284</v>
      </c>
      <c r="C196" s="2" t="s">
        <v>283</v>
      </c>
      <c r="D196" s="2" t="s">
        <v>259</v>
      </c>
      <c r="E196" s="12" t="s">
        <v>279</v>
      </c>
      <c r="F196" s="12">
        <v>79</v>
      </c>
      <c r="G196" s="12">
        <v>40</v>
      </c>
      <c r="H196" s="12">
        <v>1.5</v>
      </c>
      <c r="I196" s="12">
        <v>1</v>
      </c>
      <c r="J196" s="12">
        <v>1</v>
      </c>
      <c r="K196" s="42">
        <f t="shared" si="10"/>
        <v>60</v>
      </c>
      <c r="L196" s="12">
        <v>1.4</v>
      </c>
      <c r="M196" s="12">
        <f t="shared" si="11"/>
        <v>84</v>
      </c>
      <c r="N196" s="45"/>
    </row>
    <row r="197" spans="1:14" ht="15">
      <c r="A197" s="44">
        <v>5</v>
      </c>
      <c r="B197" s="2" t="s">
        <v>285</v>
      </c>
      <c r="C197" s="2" t="s">
        <v>282</v>
      </c>
      <c r="D197" s="2" t="s">
        <v>238</v>
      </c>
      <c r="E197" s="12" t="s">
        <v>279</v>
      </c>
      <c r="F197" s="12">
        <v>90</v>
      </c>
      <c r="G197" s="12">
        <v>45</v>
      </c>
      <c r="H197" s="12">
        <v>1.5</v>
      </c>
      <c r="I197" s="12">
        <v>1</v>
      </c>
      <c r="J197" s="12">
        <v>1</v>
      </c>
      <c r="K197" s="42">
        <f t="shared" si="10"/>
        <v>67.5</v>
      </c>
      <c r="L197" s="12">
        <v>1.2</v>
      </c>
      <c r="M197" s="12">
        <f t="shared" si="11"/>
        <v>81</v>
      </c>
      <c r="N197" s="45"/>
    </row>
    <row r="198" spans="1:14" ht="15">
      <c r="A198" s="44">
        <v>6</v>
      </c>
      <c r="B198" s="2" t="s">
        <v>36</v>
      </c>
      <c r="C198" s="2" t="s">
        <v>289</v>
      </c>
      <c r="D198" s="2" t="s">
        <v>288</v>
      </c>
      <c r="E198" s="12" t="s">
        <v>279</v>
      </c>
      <c r="F198" s="12">
        <v>75</v>
      </c>
      <c r="G198" s="12">
        <v>70</v>
      </c>
      <c r="H198" s="12">
        <v>1.5</v>
      </c>
      <c r="I198" s="12">
        <v>1</v>
      </c>
      <c r="J198" s="12">
        <v>1</v>
      </c>
      <c r="K198" s="42">
        <f t="shared" si="10"/>
        <v>105</v>
      </c>
      <c r="L198" s="12">
        <v>0.9</v>
      </c>
      <c r="M198" s="12">
        <f t="shared" si="11"/>
        <v>94.5</v>
      </c>
      <c r="N198" s="48" t="s">
        <v>290</v>
      </c>
    </row>
    <row r="199" spans="1:14" ht="14.25">
      <c r="A199" s="125" t="s">
        <v>207</v>
      </c>
      <c r="B199" s="125"/>
      <c r="C199" s="125"/>
      <c r="D199" s="40"/>
      <c r="E199" s="42"/>
      <c r="F199" s="42"/>
      <c r="G199" s="40"/>
      <c r="H199" s="42"/>
      <c r="I199" s="42"/>
      <c r="J199" s="42"/>
      <c r="K199" s="12">
        <f>SUM(K193:K198)</f>
        <v>444.6</v>
      </c>
      <c r="L199" s="12"/>
      <c r="M199" s="53">
        <f>SUM(M193:M198)</f>
        <v>503.895</v>
      </c>
      <c r="N199" s="40"/>
    </row>
    <row r="201" spans="1:11" ht="14.25">
      <c r="A201" s="9" t="s">
        <v>209</v>
      </c>
      <c r="B201" s="9"/>
      <c r="C201" s="9"/>
      <c r="D201" s="60" t="s">
        <v>338</v>
      </c>
      <c r="F201" s="3"/>
      <c r="H201"/>
      <c r="I201" s="10" t="s">
        <v>337</v>
      </c>
      <c r="K201" s="60" t="s">
        <v>320</v>
      </c>
    </row>
    <row r="221" ht="20.25">
      <c r="C221" s="1" t="s">
        <v>334</v>
      </c>
    </row>
    <row r="222" spans="4:6" ht="20.25">
      <c r="D222" s="1"/>
      <c r="E222" s="11"/>
      <c r="F222" s="11"/>
    </row>
    <row r="223" spans="1:14" ht="27">
      <c r="A223" s="4" t="s">
        <v>0</v>
      </c>
      <c r="B223" s="4" t="s">
        <v>5</v>
      </c>
      <c r="C223" s="4" t="s">
        <v>1</v>
      </c>
      <c r="D223" s="4" t="s">
        <v>2</v>
      </c>
      <c r="E223" s="5" t="s">
        <v>53</v>
      </c>
      <c r="F223" s="4" t="s">
        <v>149</v>
      </c>
      <c r="G223" s="4" t="s">
        <v>328</v>
      </c>
      <c r="H223" s="4" t="s">
        <v>150</v>
      </c>
      <c r="I223" s="6" t="s">
        <v>151</v>
      </c>
      <c r="J223" s="7" t="s">
        <v>152</v>
      </c>
      <c r="K223" s="8" t="s">
        <v>51</v>
      </c>
      <c r="L223" s="8" t="s">
        <v>50</v>
      </c>
      <c r="M223" s="4" t="s">
        <v>61</v>
      </c>
      <c r="N223" s="4" t="s">
        <v>52</v>
      </c>
    </row>
    <row r="224" spans="1:14" ht="15">
      <c r="A224" s="44">
        <v>1</v>
      </c>
      <c r="B224" s="2" t="s">
        <v>39</v>
      </c>
      <c r="C224" s="2" t="s">
        <v>294</v>
      </c>
      <c r="D224" s="2" t="s">
        <v>272</v>
      </c>
      <c r="E224" s="12" t="s">
        <v>279</v>
      </c>
      <c r="F224" s="12">
        <v>71</v>
      </c>
      <c r="G224" s="2">
        <v>72</v>
      </c>
      <c r="H224" s="12">
        <v>1.5</v>
      </c>
      <c r="I224" s="12">
        <v>1</v>
      </c>
      <c r="J224" s="12">
        <v>1</v>
      </c>
      <c r="K224" s="42">
        <f aca="true" t="shared" si="12" ref="K224:K231">G224*H224*I224*J224</f>
        <v>108</v>
      </c>
      <c r="L224" s="12">
        <v>1.2</v>
      </c>
      <c r="M224" s="51">
        <f>K224*L224</f>
        <v>129.6</v>
      </c>
      <c r="N224" s="12"/>
    </row>
    <row r="225" spans="1:14" ht="15">
      <c r="A225" s="44">
        <v>2</v>
      </c>
      <c r="B225" s="2" t="s">
        <v>39</v>
      </c>
      <c r="C225" s="2" t="s">
        <v>294</v>
      </c>
      <c r="D225" s="2" t="s">
        <v>298</v>
      </c>
      <c r="E225" s="12" t="s">
        <v>279</v>
      </c>
      <c r="F225" s="12">
        <v>36</v>
      </c>
      <c r="G225" s="2">
        <v>48</v>
      </c>
      <c r="H225" s="12">
        <v>1</v>
      </c>
      <c r="I225" s="12">
        <v>1</v>
      </c>
      <c r="J225" s="12">
        <v>0.8</v>
      </c>
      <c r="K225" s="42">
        <f t="shared" si="12"/>
        <v>38.400000000000006</v>
      </c>
      <c r="L225" s="12">
        <v>1.2</v>
      </c>
      <c r="M225" s="51">
        <f aca="true" t="shared" si="13" ref="M225:M231">K225*L225</f>
        <v>46.080000000000005</v>
      </c>
      <c r="N225" s="12"/>
    </row>
    <row r="226" spans="1:14" ht="15">
      <c r="A226" s="44">
        <v>3</v>
      </c>
      <c r="B226" s="2" t="s">
        <v>67</v>
      </c>
      <c r="C226" s="2" t="s">
        <v>294</v>
      </c>
      <c r="D226" s="2" t="s">
        <v>299</v>
      </c>
      <c r="E226" s="12" t="s">
        <v>279</v>
      </c>
      <c r="F226" s="12">
        <v>74</v>
      </c>
      <c r="G226" s="2">
        <v>51</v>
      </c>
      <c r="H226" s="12">
        <v>1.5</v>
      </c>
      <c r="I226" s="12">
        <v>1</v>
      </c>
      <c r="J226" s="12">
        <v>1</v>
      </c>
      <c r="K226" s="42">
        <f t="shared" si="12"/>
        <v>76.5</v>
      </c>
      <c r="L226" s="12">
        <v>1.2</v>
      </c>
      <c r="M226" s="51">
        <f t="shared" si="13"/>
        <v>91.8</v>
      </c>
      <c r="N226" s="12"/>
    </row>
    <row r="227" spans="1:14" ht="15">
      <c r="A227" s="44">
        <v>4</v>
      </c>
      <c r="B227" s="2" t="s">
        <v>69</v>
      </c>
      <c r="C227" s="2" t="s">
        <v>295</v>
      </c>
      <c r="D227" s="2" t="s">
        <v>300</v>
      </c>
      <c r="E227" s="12" t="s">
        <v>279</v>
      </c>
      <c r="F227" s="12">
        <v>40</v>
      </c>
      <c r="G227" s="2">
        <v>70</v>
      </c>
      <c r="H227" s="12">
        <v>1</v>
      </c>
      <c r="I227" s="12">
        <v>1</v>
      </c>
      <c r="J227" s="12">
        <v>1</v>
      </c>
      <c r="K227" s="42">
        <f t="shared" si="12"/>
        <v>70</v>
      </c>
      <c r="L227" s="12">
        <v>1.2</v>
      </c>
      <c r="M227" s="51">
        <f t="shared" si="13"/>
        <v>84</v>
      </c>
      <c r="N227" s="12"/>
    </row>
    <row r="228" spans="1:14" ht="15">
      <c r="A228" s="44">
        <v>5</v>
      </c>
      <c r="B228" s="2" t="s">
        <v>38</v>
      </c>
      <c r="C228" s="2" t="s">
        <v>295</v>
      </c>
      <c r="D228" s="2" t="s">
        <v>301</v>
      </c>
      <c r="E228" s="12" t="s">
        <v>279</v>
      </c>
      <c r="F228" s="12">
        <v>67</v>
      </c>
      <c r="G228" s="2">
        <v>70</v>
      </c>
      <c r="H228" s="12">
        <v>1.5</v>
      </c>
      <c r="I228" s="12">
        <v>1</v>
      </c>
      <c r="J228" s="12">
        <v>1</v>
      </c>
      <c r="K228" s="42">
        <f t="shared" si="12"/>
        <v>105</v>
      </c>
      <c r="L228" s="12">
        <v>1.05</v>
      </c>
      <c r="M228" s="51">
        <f t="shared" si="13"/>
        <v>110.25</v>
      </c>
      <c r="N228" s="12"/>
    </row>
    <row r="229" spans="1:14" ht="30">
      <c r="A229" s="49">
        <v>6</v>
      </c>
      <c r="B229" s="50" t="s">
        <v>60</v>
      </c>
      <c r="C229" s="50" t="s">
        <v>296</v>
      </c>
      <c r="D229" s="50" t="s">
        <v>302</v>
      </c>
      <c r="E229" s="51" t="s">
        <v>279</v>
      </c>
      <c r="F229" s="50">
        <v>96</v>
      </c>
      <c r="G229" s="50">
        <v>70</v>
      </c>
      <c r="H229" s="50">
        <v>1.7</v>
      </c>
      <c r="I229" s="51">
        <v>1</v>
      </c>
      <c r="J229" s="51">
        <v>1</v>
      </c>
      <c r="K229" s="51">
        <f t="shared" si="12"/>
        <v>119</v>
      </c>
      <c r="L229" s="51">
        <v>1.05</v>
      </c>
      <c r="M229" s="51">
        <f t="shared" si="13"/>
        <v>124.95</v>
      </c>
      <c r="N229" s="50"/>
    </row>
    <row r="230" spans="1:14" ht="30">
      <c r="A230" s="49">
        <v>7</v>
      </c>
      <c r="B230" s="50" t="s">
        <v>70</v>
      </c>
      <c r="C230" s="50" t="s">
        <v>296</v>
      </c>
      <c r="D230" s="50" t="s">
        <v>303</v>
      </c>
      <c r="E230" s="51" t="s">
        <v>279</v>
      </c>
      <c r="F230" s="50">
        <v>112</v>
      </c>
      <c r="G230" s="50">
        <v>70</v>
      </c>
      <c r="H230" s="50">
        <v>1.7</v>
      </c>
      <c r="I230" s="51">
        <v>1</v>
      </c>
      <c r="J230" s="51">
        <v>1</v>
      </c>
      <c r="K230" s="51">
        <f t="shared" si="12"/>
        <v>119</v>
      </c>
      <c r="L230" s="51">
        <v>1.05</v>
      </c>
      <c r="M230" s="51">
        <f t="shared" si="13"/>
        <v>124.95</v>
      </c>
      <c r="N230" s="50"/>
    </row>
    <row r="231" spans="1:14" ht="15">
      <c r="A231" s="44">
        <v>8</v>
      </c>
      <c r="B231" s="2" t="s">
        <v>45</v>
      </c>
      <c r="C231" s="2" t="s">
        <v>297</v>
      </c>
      <c r="D231" s="2" t="s">
        <v>304</v>
      </c>
      <c r="E231" s="12" t="s">
        <v>279</v>
      </c>
      <c r="F231" s="12">
        <v>32</v>
      </c>
      <c r="G231" s="2">
        <v>42</v>
      </c>
      <c r="H231" s="12">
        <v>1</v>
      </c>
      <c r="I231" s="12">
        <v>1</v>
      </c>
      <c r="J231" s="12">
        <v>1</v>
      </c>
      <c r="K231" s="42">
        <f t="shared" si="12"/>
        <v>42</v>
      </c>
      <c r="L231" s="12">
        <v>1.2</v>
      </c>
      <c r="M231" s="51">
        <f t="shared" si="13"/>
        <v>50.4</v>
      </c>
      <c r="N231" s="12"/>
    </row>
    <row r="232" spans="1:14" ht="14.25">
      <c r="A232" s="125" t="s">
        <v>207</v>
      </c>
      <c r="B232" s="125"/>
      <c r="C232" s="125"/>
      <c r="D232" s="40"/>
      <c r="E232" s="42"/>
      <c r="F232" s="42"/>
      <c r="G232" s="40"/>
      <c r="H232" s="42"/>
      <c r="I232" s="42"/>
      <c r="J232" s="42"/>
      <c r="K232" s="12">
        <f>SUM(K224:K231)</f>
        <v>677.9</v>
      </c>
      <c r="L232" s="12"/>
      <c r="M232" s="53">
        <f>SUM(M224:M231)</f>
        <v>762.0300000000001</v>
      </c>
      <c r="N232" s="40"/>
    </row>
    <row r="234" spans="1:11" ht="14.25">
      <c r="A234" s="9" t="s">
        <v>209</v>
      </c>
      <c r="B234" s="9"/>
      <c r="C234" s="9"/>
      <c r="D234" s="60" t="s">
        <v>338</v>
      </c>
      <c r="F234" s="3"/>
      <c r="H234"/>
      <c r="I234" s="10" t="s">
        <v>337</v>
      </c>
      <c r="K234" s="60" t="s">
        <v>341</v>
      </c>
    </row>
    <row r="250" ht="20.25">
      <c r="C250" s="1" t="s">
        <v>333</v>
      </c>
    </row>
    <row r="251" spans="4:6" ht="20.25">
      <c r="D251" s="1"/>
      <c r="E251" s="11"/>
      <c r="F251" s="11"/>
    </row>
    <row r="252" spans="1:14" ht="27">
      <c r="A252" s="4" t="s">
        <v>0</v>
      </c>
      <c r="B252" s="4" t="s">
        <v>5</v>
      </c>
      <c r="C252" s="4" t="s">
        <v>1</v>
      </c>
      <c r="D252" s="4" t="s">
        <v>2</v>
      </c>
      <c r="E252" s="5" t="s">
        <v>53</v>
      </c>
      <c r="F252" s="4" t="s">
        <v>149</v>
      </c>
      <c r="G252" s="4" t="s">
        <v>328</v>
      </c>
      <c r="H252" s="4" t="s">
        <v>150</v>
      </c>
      <c r="I252" s="6" t="s">
        <v>151</v>
      </c>
      <c r="J252" s="7" t="s">
        <v>152</v>
      </c>
      <c r="K252" s="8" t="s">
        <v>51</v>
      </c>
      <c r="L252" s="8" t="s">
        <v>50</v>
      </c>
      <c r="M252" s="4" t="s">
        <v>61</v>
      </c>
      <c r="N252" s="4" t="s">
        <v>52</v>
      </c>
    </row>
    <row r="253" spans="1:14" ht="15">
      <c r="A253" s="44">
        <v>1</v>
      </c>
      <c r="B253" s="2" t="s">
        <v>42</v>
      </c>
      <c r="C253" s="2" t="s">
        <v>305</v>
      </c>
      <c r="D253" s="2" t="s">
        <v>259</v>
      </c>
      <c r="E253" s="12" t="s">
        <v>203</v>
      </c>
      <c r="F253" s="12">
        <v>79</v>
      </c>
      <c r="G253" s="12">
        <v>52</v>
      </c>
      <c r="H253" s="12">
        <v>1.5</v>
      </c>
      <c r="I253" s="12">
        <v>1</v>
      </c>
      <c r="J253" s="12">
        <v>1</v>
      </c>
      <c r="K253" s="42">
        <f aca="true" t="shared" si="14" ref="K253:K264">G253*H253*I253*J253</f>
        <v>78</v>
      </c>
      <c r="L253" s="12">
        <v>1.2</v>
      </c>
      <c r="M253" s="12">
        <f>K253*L253</f>
        <v>93.6</v>
      </c>
      <c r="N253" s="45"/>
    </row>
    <row r="254" spans="1:14" ht="15">
      <c r="A254" s="44">
        <v>2</v>
      </c>
      <c r="B254" s="2" t="s">
        <v>42</v>
      </c>
      <c r="C254" s="2" t="s">
        <v>305</v>
      </c>
      <c r="D254" s="2" t="s">
        <v>286</v>
      </c>
      <c r="E254" s="12" t="s">
        <v>203</v>
      </c>
      <c r="F254" s="12">
        <v>97</v>
      </c>
      <c r="G254" s="12">
        <v>48</v>
      </c>
      <c r="H254" s="12">
        <v>1.57</v>
      </c>
      <c r="I254" s="12">
        <v>1</v>
      </c>
      <c r="J254" s="12">
        <v>0.8</v>
      </c>
      <c r="K254" s="42">
        <f t="shared" si="14"/>
        <v>60.288000000000004</v>
      </c>
      <c r="L254" s="12">
        <v>1.2</v>
      </c>
      <c r="M254" s="53">
        <f aca="true" t="shared" si="15" ref="M254:M264">K254*L254</f>
        <v>72.3456</v>
      </c>
      <c r="N254" s="32" t="s">
        <v>291</v>
      </c>
    </row>
    <row r="255" spans="1:14" ht="14.25">
      <c r="A255" s="119">
        <v>3</v>
      </c>
      <c r="B255" s="2" t="s">
        <v>42</v>
      </c>
      <c r="C255" s="119" t="s">
        <v>339</v>
      </c>
      <c r="D255" s="119" t="s">
        <v>238</v>
      </c>
      <c r="E255" s="12" t="s">
        <v>203</v>
      </c>
      <c r="F255" s="119">
        <v>90</v>
      </c>
      <c r="G255" s="12">
        <v>4</v>
      </c>
      <c r="H255" s="12">
        <v>1.5</v>
      </c>
      <c r="I255" s="12">
        <v>1</v>
      </c>
      <c r="J255" s="12">
        <v>0.8</v>
      </c>
      <c r="K255" s="42">
        <f t="shared" si="14"/>
        <v>4.800000000000001</v>
      </c>
      <c r="L255" s="12">
        <v>1.2</v>
      </c>
      <c r="M255" s="53">
        <f t="shared" si="15"/>
        <v>5.760000000000001</v>
      </c>
      <c r="N255" s="45"/>
    </row>
    <row r="256" spans="1:14" ht="14.25">
      <c r="A256" s="126"/>
      <c r="B256" s="2" t="s">
        <v>44</v>
      </c>
      <c r="C256" s="126"/>
      <c r="D256" s="126"/>
      <c r="E256" s="12" t="s">
        <v>203</v>
      </c>
      <c r="F256" s="126"/>
      <c r="G256" s="12">
        <v>44</v>
      </c>
      <c r="H256" s="12">
        <v>1.5</v>
      </c>
      <c r="I256" s="12">
        <v>1</v>
      </c>
      <c r="J256" s="12">
        <v>1</v>
      </c>
      <c r="K256" s="42">
        <f t="shared" si="14"/>
        <v>66</v>
      </c>
      <c r="L256" s="12">
        <v>1.2</v>
      </c>
      <c r="M256" s="53">
        <f t="shared" si="15"/>
        <v>79.2</v>
      </c>
      <c r="N256" s="45"/>
    </row>
    <row r="257" spans="1:14" ht="14.25">
      <c r="A257" s="119">
        <v>4</v>
      </c>
      <c r="B257" s="2" t="s">
        <v>42</v>
      </c>
      <c r="C257" s="119" t="s">
        <v>340</v>
      </c>
      <c r="D257" s="119" t="s">
        <v>287</v>
      </c>
      <c r="E257" s="12" t="s">
        <v>203</v>
      </c>
      <c r="F257" s="119">
        <v>79</v>
      </c>
      <c r="G257" s="12">
        <v>4</v>
      </c>
      <c r="H257" s="12">
        <v>1.5</v>
      </c>
      <c r="I257" s="12">
        <v>1</v>
      </c>
      <c r="J257" s="12">
        <v>0.8</v>
      </c>
      <c r="K257" s="42">
        <f t="shared" si="14"/>
        <v>4.800000000000001</v>
      </c>
      <c r="L257" s="12">
        <v>1.2</v>
      </c>
      <c r="M257" s="53">
        <f t="shared" si="15"/>
        <v>5.760000000000001</v>
      </c>
      <c r="N257" s="45"/>
    </row>
    <row r="258" spans="1:14" ht="14.25">
      <c r="A258" s="120"/>
      <c r="B258" s="2" t="s">
        <v>44</v>
      </c>
      <c r="C258" s="126"/>
      <c r="D258" s="126"/>
      <c r="E258" s="12" t="s">
        <v>203</v>
      </c>
      <c r="F258" s="126"/>
      <c r="G258" s="12">
        <v>41</v>
      </c>
      <c r="H258" s="12">
        <v>1.5</v>
      </c>
      <c r="I258" s="12">
        <v>1</v>
      </c>
      <c r="J258" s="12">
        <v>0.8</v>
      </c>
      <c r="K258" s="42">
        <f t="shared" si="14"/>
        <v>49.2</v>
      </c>
      <c r="L258" s="12">
        <v>1.2</v>
      </c>
      <c r="M258" s="12">
        <f t="shared" si="15"/>
        <v>59.04</v>
      </c>
      <c r="N258" s="45"/>
    </row>
    <row r="259" spans="1:14" ht="15">
      <c r="A259" s="37">
        <v>5</v>
      </c>
      <c r="B259" s="2" t="s">
        <v>44</v>
      </c>
      <c r="C259" s="52" t="s">
        <v>308</v>
      </c>
      <c r="D259" s="2" t="s">
        <v>298</v>
      </c>
      <c r="E259" s="12" t="s">
        <v>203</v>
      </c>
      <c r="F259" s="12">
        <v>36</v>
      </c>
      <c r="G259" s="12">
        <v>48</v>
      </c>
      <c r="H259" s="12">
        <v>1</v>
      </c>
      <c r="I259" s="12">
        <v>1</v>
      </c>
      <c r="J259" s="12">
        <v>1</v>
      </c>
      <c r="K259" s="42">
        <f t="shared" si="14"/>
        <v>48</v>
      </c>
      <c r="L259" s="12">
        <v>1.2</v>
      </c>
      <c r="M259" s="12">
        <f t="shared" si="15"/>
        <v>57.599999999999994</v>
      </c>
      <c r="N259" s="48" t="s">
        <v>313</v>
      </c>
    </row>
    <row r="260" spans="1:14" ht="15">
      <c r="A260" s="44">
        <v>6</v>
      </c>
      <c r="B260" s="2" t="s">
        <v>43</v>
      </c>
      <c r="C260" s="2" t="s">
        <v>306</v>
      </c>
      <c r="D260" s="2" t="s">
        <v>309</v>
      </c>
      <c r="E260" s="12" t="s">
        <v>203</v>
      </c>
      <c r="F260" s="12">
        <v>86</v>
      </c>
      <c r="G260" s="12">
        <v>60</v>
      </c>
      <c r="H260" s="12">
        <v>1.5</v>
      </c>
      <c r="I260" s="12">
        <v>1</v>
      </c>
      <c r="J260" s="12">
        <v>1</v>
      </c>
      <c r="K260" s="42">
        <f t="shared" si="14"/>
        <v>90</v>
      </c>
      <c r="L260" s="12">
        <v>1.2</v>
      </c>
      <c r="M260" s="12">
        <f t="shared" si="15"/>
        <v>108</v>
      </c>
      <c r="N260" s="45"/>
    </row>
    <row r="261" spans="1:14" ht="15">
      <c r="A261" s="44">
        <v>7</v>
      </c>
      <c r="B261" s="2" t="s">
        <v>43</v>
      </c>
      <c r="C261" s="2" t="s">
        <v>306</v>
      </c>
      <c r="D261" s="2" t="s">
        <v>310</v>
      </c>
      <c r="E261" s="12" t="s">
        <v>203</v>
      </c>
      <c r="F261" s="12">
        <v>74</v>
      </c>
      <c r="G261" s="12">
        <v>60</v>
      </c>
      <c r="H261" s="12">
        <v>1.5</v>
      </c>
      <c r="I261" s="12">
        <v>1</v>
      </c>
      <c r="J261" s="12">
        <v>0.8</v>
      </c>
      <c r="K261" s="42">
        <f t="shared" si="14"/>
        <v>72</v>
      </c>
      <c r="L261" s="12">
        <v>1.2</v>
      </c>
      <c r="M261" s="12">
        <f t="shared" si="15"/>
        <v>86.39999999999999</v>
      </c>
      <c r="N261" s="45"/>
    </row>
    <row r="262" spans="1:14" ht="15">
      <c r="A262" s="30">
        <v>8</v>
      </c>
      <c r="B262" s="2" t="s">
        <v>47</v>
      </c>
      <c r="C262" s="2" t="s">
        <v>307</v>
      </c>
      <c r="D262" s="2" t="s">
        <v>312</v>
      </c>
      <c r="E262" s="12" t="s">
        <v>203</v>
      </c>
      <c r="F262" s="12">
        <v>37</v>
      </c>
      <c r="G262" s="12">
        <v>72</v>
      </c>
      <c r="H262" s="12">
        <v>1</v>
      </c>
      <c r="I262" s="12">
        <v>1</v>
      </c>
      <c r="J262" s="12">
        <v>1</v>
      </c>
      <c r="K262" s="42">
        <f t="shared" si="14"/>
        <v>72</v>
      </c>
      <c r="L262" s="12">
        <v>1.05</v>
      </c>
      <c r="M262" s="12">
        <f>K262*L262</f>
        <v>75.60000000000001</v>
      </c>
      <c r="N262" s="45"/>
    </row>
    <row r="263" spans="1:14" ht="14.25">
      <c r="A263" s="119">
        <v>9</v>
      </c>
      <c r="B263" s="2" t="s">
        <v>47</v>
      </c>
      <c r="C263" s="119" t="s">
        <v>307</v>
      </c>
      <c r="D263" s="119" t="s">
        <v>311</v>
      </c>
      <c r="E263" s="12" t="s">
        <v>203</v>
      </c>
      <c r="F263" s="119">
        <v>37</v>
      </c>
      <c r="G263" s="12">
        <v>4</v>
      </c>
      <c r="H263" s="12">
        <v>1</v>
      </c>
      <c r="I263" s="12">
        <v>1</v>
      </c>
      <c r="J263" s="12">
        <v>0.8</v>
      </c>
      <c r="K263" s="42">
        <f t="shared" si="14"/>
        <v>3.2</v>
      </c>
      <c r="L263" s="12">
        <v>1.05</v>
      </c>
      <c r="M263" s="12">
        <f t="shared" si="15"/>
        <v>3.3600000000000003</v>
      </c>
      <c r="N263" s="45"/>
    </row>
    <row r="264" spans="1:14" ht="14.25">
      <c r="A264" s="120"/>
      <c r="B264" s="2" t="s">
        <v>46</v>
      </c>
      <c r="C264" s="120"/>
      <c r="D264" s="120"/>
      <c r="E264" s="12" t="s">
        <v>203</v>
      </c>
      <c r="F264" s="120"/>
      <c r="G264" s="12">
        <v>68</v>
      </c>
      <c r="H264" s="12">
        <v>1</v>
      </c>
      <c r="I264" s="12">
        <v>1</v>
      </c>
      <c r="J264" s="12">
        <v>1</v>
      </c>
      <c r="K264" s="42">
        <f t="shared" si="14"/>
        <v>68</v>
      </c>
      <c r="L264" s="12">
        <v>1.05</v>
      </c>
      <c r="M264" s="12">
        <f t="shared" si="15"/>
        <v>71.4</v>
      </c>
      <c r="N264" s="45"/>
    </row>
    <row r="265" spans="1:14" ht="14.25">
      <c r="A265" s="125" t="s">
        <v>207</v>
      </c>
      <c r="B265" s="125"/>
      <c r="C265" s="125"/>
      <c r="D265" s="40"/>
      <c r="E265" s="42"/>
      <c r="F265" s="42"/>
      <c r="G265" s="40"/>
      <c r="H265" s="42"/>
      <c r="I265" s="42"/>
      <c r="J265" s="42"/>
      <c r="K265" s="59">
        <f>SUM(K253:K264)</f>
        <v>616.288</v>
      </c>
      <c r="L265" s="58"/>
      <c r="M265" s="57">
        <f>SUM(M253:M264)</f>
        <v>718.0656</v>
      </c>
      <c r="N265" s="40"/>
    </row>
    <row r="267" spans="1:11" ht="14.25">
      <c r="A267" s="9" t="s">
        <v>209</v>
      </c>
      <c r="B267" s="9"/>
      <c r="C267" s="9"/>
      <c r="D267" s="60" t="s">
        <v>338</v>
      </c>
      <c r="F267" s="3"/>
      <c r="H267"/>
      <c r="I267" s="10" t="s">
        <v>337</v>
      </c>
      <c r="K267" s="60" t="s">
        <v>320</v>
      </c>
    </row>
    <row r="269" spans="11:13" ht="14.25">
      <c r="K269" s="61"/>
      <c r="L269" s="61"/>
      <c r="M269" s="61"/>
    </row>
  </sheetData>
  <mergeCells count="24">
    <mergeCell ref="A10:A11"/>
    <mergeCell ref="C10:C11"/>
    <mergeCell ref="D10:D11"/>
    <mergeCell ref="A33:C33"/>
    <mergeCell ref="A51:C51"/>
    <mergeCell ref="A84:C84"/>
    <mergeCell ref="A113:C113"/>
    <mergeCell ref="A137:C137"/>
    <mergeCell ref="A163:C163"/>
    <mergeCell ref="A199:C199"/>
    <mergeCell ref="A232:C232"/>
    <mergeCell ref="A255:A256"/>
    <mergeCell ref="C255:C256"/>
    <mergeCell ref="F263:F264"/>
    <mergeCell ref="D255:D256"/>
    <mergeCell ref="F255:F256"/>
    <mergeCell ref="A257:A258"/>
    <mergeCell ref="C257:C258"/>
    <mergeCell ref="D257:D258"/>
    <mergeCell ref="F257:F258"/>
    <mergeCell ref="A265:C265"/>
    <mergeCell ref="A263:A264"/>
    <mergeCell ref="C263:C264"/>
    <mergeCell ref="D263:D264"/>
  </mergeCells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1">
      <selection activeCell="P5" sqref="P5"/>
    </sheetView>
  </sheetViews>
  <sheetFormatPr defaultColWidth="9.00390625" defaultRowHeight="14.25"/>
  <cols>
    <col min="1" max="1" width="4.25390625" style="63" customWidth="1"/>
    <col min="2" max="2" width="7.75390625" style="63" customWidth="1"/>
    <col min="3" max="3" width="6.75390625" style="73" customWidth="1"/>
    <col min="4" max="4" width="6.00390625" style="70" customWidth="1"/>
    <col min="5" max="5" width="5.375" style="63" customWidth="1"/>
    <col min="6" max="6" width="7.375" style="63" customWidth="1"/>
    <col min="7" max="7" width="5.00390625" style="68" customWidth="1"/>
    <col min="8" max="8" width="4.875" style="79" customWidth="1"/>
    <col min="9" max="9" width="7.00390625" style="70" customWidth="1"/>
    <col min="10" max="10" width="6.25390625" style="71" customWidth="1"/>
    <col min="11" max="11" width="6.875" style="73" customWidth="1"/>
    <col min="12" max="12" width="7.75390625" style="63" customWidth="1"/>
    <col min="13" max="13" width="7.625" style="63" customWidth="1"/>
  </cols>
  <sheetData>
    <row r="1" spans="1:12" ht="33" customHeight="1">
      <c r="A1" s="127" t="s">
        <v>343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3" ht="27" customHeight="1">
      <c r="A2" s="90"/>
      <c r="B2" s="142" t="s">
        <v>356</v>
      </c>
      <c r="C2" s="80"/>
      <c r="D2" s="80"/>
      <c r="E2" s="80"/>
      <c r="F2" s="80"/>
      <c r="G2" s="80"/>
      <c r="H2" s="80"/>
      <c r="I2" s="80"/>
      <c r="J2" s="80"/>
      <c r="K2" s="142" t="s">
        <v>363</v>
      </c>
      <c r="L2" s="80"/>
      <c r="M2" s="114"/>
    </row>
    <row r="3" spans="1:13" ht="32.25" customHeight="1">
      <c r="A3" s="138" t="s">
        <v>344</v>
      </c>
      <c r="B3" s="136" t="s">
        <v>345</v>
      </c>
      <c r="C3" s="140" t="s">
        <v>346</v>
      </c>
      <c r="D3" s="135" t="s">
        <v>347</v>
      </c>
      <c r="E3" s="133"/>
      <c r="F3" s="134"/>
      <c r="G3" s="132" t="s">
        <v>348</v>
      </c>
      <c r="H3" s="133"/>
      <c r="I3" s="134"/>
      <c r="J3" s="132" t="s">
        <v>349</v>
      </c>
      <c r="K3" s="134"/>
      <c r="L3" s="135"/>
      <c r="M3" s="113"/>
    </row>
    <row r="4" spans="1:13" s="62" customFormat="1" ht="24">
      <c r="A4" s="139"/>
      <c r="B4" s="137"/>
      <c r="C4" s="141"/>
      <c r="D4" s="81" t="s">
        <v>350</v>
      </c>
      <c r="E4" s="82" t="s">
        <v>351</v>
      </c>
      <c r="F4" s="82" t="s">
        <v>357</v>
      </c>
      <c r="G4" s="83" t="s">
        <v>342</v>
      </c>
      <c r="H4" s="82" t="s">
        <v>352</v>
      </c>
      <c r="I4" s="81" t="s">
        <v>358</v>
      </c>
      <c r="J4" s="84" t="s">
        <v>360</v>
      </c>
      <c r="K4" s="82" t="s">
        <v>359</v>
      </c>
      <c r="L4" s="82" t="s">
        <v>361</v>
      </c>
      <c r="M4" s="85" t="s">
        <v>362</v>
      </c>
    </row>
    <row r="5" spans="1:13" s="62" customFormat="1" ht="14.25" customHeight="1">
      <c r="A5" s="86">
        <v>1</v>
      </c>
      <c r="B5" s="86"/>
      <c r="C5" s="76"/>
      <c r="D5" s="87"/>
      <c r="E5" s="88"/>
      <c r="F5" s="89"/>
      <c r="G5" s="91"/>
      <c r="H5" s="92"/>
      <c r="I5" s="93"/>
      <c r="J5" s="94"/>
      <c r="K5" s="72"/>
      <c r="L5" s="92"/>
      <c r="M5" s="95"/>
    </row>
    <row r="6" spans="1:13" s="62" customFormat="1" ht="14.25" customHeight="1">
      <c r="A6" s="86">
        <v>2</v>
      </c>
      <c r="B6" s="86"/>
      <c r="C6" s="76"/>
      <c r="D6" s="87"/>
      <c r="E6" s="88"/>
      <c r="F6" s="89"/>
      <c r="G6" s="91"/>
      <c r="H6" s="92"/>
      <c r="I6" s="93"/>
      <c r="J6" s="94"/>
      <c r="K6" s="72"/>
      <c r="L6" s="92"/>
      <c r="M6" s="95"/>
    </row>
    <row r="7" spans="1:13" ht="14.25" customHeight="1">
      <c r="A7" s="86">
        <v>3</v>
      </c>
      <c r="B7" s="86"/>
      <c r="C7" s="76"/>
      <c r="D7" s="96"/>
      <c r="E7" s="88"/>
      <c r="F7" s="89"/>
      <c r="G7" s="91"/>
      <c r="H7" s="92"/>
      <c r="I7" s="93"/>
      <c r="J7" s="88"/>
      <c r="K7" s="72"/>
      <c r="L7" s="86"/>
      <c r="M7" s="95"/>
    </row>
    <row r="8" spans="1:13" ht="14.25" customHeight="1">
      <c r="A8" s="86">
        <v>4</v>
      </c>
      <c r="B8" s="86"/>
      <c r="C8" s="76"/>
      <c r="D8" s="96"/>
      <c r="E8" s="88"/>
      <c r="F8" s="89"/>
      <c r="G8" s="91"/>
      <c r="H8" s="92"/>
      <c r="I8" s="93"/>
      <c r="J8" s="88"/>
      <c r="K8" s="72"/>
      <c r="L8" s="86"/>
      <c r="M8" s="95"/>
    </row>
    <row r="9" spans="1:13" ht="14.25" customHeight="1">
      <c r="A9" s="86">
        <v>5</v>
      </c>
      <c r="B9" s="86"/>
      <c r="C9" s="76"/>
      <c r="D9" s="96"/>
      <c r="E9" s="88"/>
      <c r="F9" s="89"/>
      <c r="G9" s="91"/>
      <c r="H9" s="92"/>
      <c r="I9" s="93"/>
      <c r="J9" s="88"/>
      <c r="K9" s="72"/>
      <c r="L9" s="92"/>
      <c r="M9" s="95"/>
    </row>
    <row r="10" spans="1:13" ht="14.25" customHeight="1">
      <c r="A10" s="86">
        <v>6</v>
      </c>
      <c r="B10" s="86"/>
      <c r="C10" s="76"/>
      <c r="D10" s="96"/>
      <c r="E10" s="88"/>
      <c r="F10" s="89"/>
      <c r="G10" s="91"/>
      <c r="H10" s="92"/>
      <c r="I10" s="93"/>
      <c r="J10" s="88"/>
      <c r="K10" s="72"/>
      <c r="L10" s="86"/>
      <c r="M10" s="95"/>
    </row>
    <row r="11" spans="1:13" ht="14.25" customHeight="1">
      <c r="A11" s="86">
        <v>7</v>
      </c>
      <c r="B11" s="86"/>
      <c r="C11" s="76"/>
      <c r="D11" s="96"/>
      <c r="E11" s="88"/>
      <c r="F11" s="89"/>
      <c r="G11" s="91"/>
      <c r="H11" s="92"/>
      <c r="I11" s="93"/>
      <c r="J11" s="88"/>
      <c r="K11" s="72"/>
      <c r="L11" s="92"/>
      <c r="M11" s="95"/>
    </row>
    <row r="12" spans="1:13" ht="14.25" customHeight="1">
      <c r="A12" s="86">
        <v>8</v>
      </c>
      <c r="B12" s="86"/>
      <c r="C12" s="76"/>
      <c r="D12" s="96"/>
      <c r="E12" s="88"/>
      <c r="F12" s="89"/>
      <c r="G12" s="91"/>
      <c r="H12" s="92"/>
      <c r="I12" s="93"/>
      <c r="J12" s="88"/>
      <c r="K12" s="72"/>
      <c r="L12" s="92"/>
      <c r="M12" s="95"/>
    </row>
    <row r="13" spans="1:13" ht="14.25" customHeight="1">
      <c r="A13" s="86">
        <v>9</v>
      </c>
      <c r="B13" s="86"/>
      <c r="C13" s="76"/>
      <c r="D13" s="96"/>
      <c r="E13" s="88"/>
      <c r="F13" s="89"/>
      <c r="G13" s="91"/>
      <c r="H13" s="92"/>
      <c r="I13" s="93"/>
      <c r="J13" s="88"/>
      <c r="K13" s="72"/>
      <c r="L13" s="92"/>
      <c r="M13" s="95"/>
    </row>
    <row r="14" spans="1:13" ht="14.25" customHeight="1">
      <c r="A14" s="86">
        <v>10</v>
      </c>
      <c r="B14" s="86"/>
      <c r="C14" s="76"/>
      <c r="D14" s="96"/>
      <c r="E14" s="88"/>
      <c r="F14" s="89"/>
      <c r="G14" s="91"/>
      <c r="H14" s="92"/>
      <c r="I14" s="93"/>
      <c r="J14" s="88"/>
      <c r="K14" s="72"/>
      <c r="L14" s="92"/>
      <c r="M14" s="95"/>
    </row>
    <row r="15" spans="1:13" ht="14.25" customHeight="1">
      <c r="A15" s="86">
        <v>11</v>
      </c>
      <c r="B15" s="86"/>
      <c r="C15" s="76"/>
      <c r="D15" s="96"/>
      <c r="E15" s="88"/>
      <c r="F15" s="89"/>
      <c r="G15" s="91"/>
      <c r="H15" s="92"/>
      <c r="I15" s="93"/>
      <c r="J15" s="88"/>
      <c r="K15" s="72"/>
      <c r="L15" s="92"/>
      <c r="M15" s="95"/>
    </row>
    <row r="16" spans="1:13" ht="14.25" customHeight="1">
      <c r="A16" s="86">
        <v>12</v>
      </c>
      <c r="B16" s="86"/>
      <c r="C16" s="76"/>
      <c r="D16" s="96"/>
      <c r="E16" s="88"/>
      <c r="F16" s="89"/>
      <c r="G16" s="91"/>
      <c r="H16" s="92"/>
      <c r="I16" s="93"/>
      <c r="J16" s="88"/>
      <c r="K16" s="72"/>
      <c r="L16" s="92"/>
      <c r="M16" s="95"/>
    </row>
    <row r="17" spans="1:13" ht="14.25" customHeight="1">
      <c r="A17" s="86">
        <v>13</v>
      </c>
      <c r="B17" s="86"/>
      <c r="C17" s="76"/>
      <c r="D17" s="96"/>
      <c r="E17" s="88"/>
      <c r="F17" s="89"/>
      <c r="G17" s="91"/>
      <c r="H17" s="92"/>
      <c r="I17" s="93"/>
      <c r="J17" s="88"/>
      <c r="K17" s="72"/>
      <c r="L17" s="92"/>
      <c r="M17" s="95"/>
    </row>
    <row r="18" spans="1:13" ht="14.25" customHeight="1">
      <c r="A18" s="86">
        <v>14</v>
      </c>
      <c r="B18" s="86"/>
      <c r="C18" s="76"/>
      <c r="D18" s="96"/>
      <c r="E18" s="88"/>
      <c r="F18" s="89"/>
      <c r="G18" s="91"/>
      <c r="H18" s="92"/>
      <c r="I18" s="93"/>
      <c r="J18" s="88"/>
      <c r="K18" s="72"/>
      <c r="L18" s="92"/>
      <c r="M18" s="95"/>
    </row>
    <row r="19" spans="1:13" ht="14.25" customHeight="1">
      <c r="A19" s="86">
        <v>15</v>
      </c>
      <c r="B19" s="86"/>
      <c r="C19" s="76"/>
      <c r="D19" s="96"/>
      <c r="E19" s="88"/>
      <c r="F19" s="89"/>
      <c r="G19" s="91"/>
      <c r="H19" s="92"/>
      <c r="I19" s="93"/>
      <c r="J19" s="88"/>
      <c r="K19" s="72"/>
      <c r="L19" s="92"/>
      <c r="M19" s="95"/>
    </row>
    <row r="20" spans="1:13" ht="14.25" customHeight="1">
      <c r="A20" s="86">
        <v>16</v>
      </c>
      <c r="B20" s="86"/>
      <c r="C20" s="76"/>
      <c r="D20" s="96"/>
      <c r="E20" s="88"/>
      <c r="F20" s="89"/>
      <c r="G20" s="91"/>
      <c r="H20" s="92"/>
      <c r="I20" s="93"/>
      <c r="J20" s="88"/>
      <c r="K20" s="72"/>
      <c r="L20" s="92"/>
      <c r="M20" s="95"/>
    </row>
    <row r="21" spans="1:13" ht="14.25" customHeight="1">
      <c r="A21" s="86">
        <v>17</v>
      </c>
      <c r="B21" s="86"/>
      <c r="C21" s="76"/>
      <c r="D21" s="96"/>
      <c r="E21" s="88"/>
      <c r="F21" s="89"/>
      <c r="G21" s="91"/>
      <c r="H21" s="92"/>
      <c r="I21" s="93"/>
      <c r="J21" s="88"/>
      <c r="K21" s="72"/>
      <c r="L21" s="92"/>
      <c r="M21" s="95"/>
    </row>
    <row r="22" spans="1:13" ht="14.25" customHeight="1">
      <c r="A22" s="86">
        <v>18</v>
      </c>
      <c r="B22" s="86"/>
      <c r="C22" s="76"/>
      <c r="D22" s="96"/>
      <c r="E22" s="88"/>
      <c r="F22" s="89"/>
      <c r="G22" s="91"/>
      <c r="H22" s="92"/>
      <c r="I22" s="93"/>
      <c r="J22" s="88"/>
      <c r="K22" s="72"/>
      <c r="L22" s="92"/>
      <c r="M22" s="95"/>
    </row>
    <row r="23" spans="1:13" ht="14.25" customHeight="1">
      <c r="A23" s="86">
        <v>19</v>
      </c>
      <c r="B23" s="86"/>
      <c r="C23" s="76"/>
      <c r="D23" s="96"/>
      <c r="E23" s="88"/>
      <c r="F23" s="89"/>
      <c r="G23" s="97"/>
      <c r="H23" s="92"/>
      <c r="I23" s="93"/>
      <c r="J23" s="88"/>
      <c r="K23" s="72"/>
      <c r="L23" s="92"/>
      <c r="M23" s="95"/>
    </row>
    <row r="24" spans="1:13" ht="14.25" customHeight="1">
      <c r="A24" s="86">
        <v>20</v>
      </c>
      <c r="B24" s="86"/>
      <c r="C24" s="76"/>
      <c r="D24" s="96"/>
      <c r="E24" s="88"/>
      <c r="F24" s="89"/>
      <c r="G24" s="91"/>
      <c r="H24" s="92"/>
      <c r="I24" s="93"/>
      <c r="J24" s="88"/>
      <c r="K24" s="72"/>
      <c r="L24" s="92"/>
      <c r="M24" s="95"/>
    </row>
    <row r="25" spans="1:13" ht="14.25" customHeight="1">
      <c r="A25" s="86">
        <v>26</v>
      </c>
      <c r="B25" s="86"/>
      <c r="C25" s="76"/>
      <c r="D25" s="96"/>
      <c r="E25" s="88"/>
      <c r="F25" s="89"/>
      <c r="G25" s="91"/>
      <c r="H25" s="92"/>
      <c r="I25" s="93"/>
      <c r="J25" s="88"/>
      <c r="K25" s="72"/>
      <c r="L25" s="92"/>
      <c r="M25" s="95"/>
    </row>
    <row r="26" spans="1:13" ht="14.25" customHeight="1">
      <c r="A26" s="86" t="s">
        <v>353</v>
      </c>
      <c r="B26" s="65"/>
      <c r="C26" s="74"/>
      <c r="D26" s="96"/>
      <c r="E26" s="88"/>
      <c r="F26" s="89"/>
      <c r="G26" s="98"/>
      <c r="H26" s="92"/>
      <c r="I26" s="93"/>
      <c r="J26" s="99"/>
      <c r="K26" s="72"/>
      <c r="L26" s="95"/>
      <c r="M26" s="95"/>
    </row>
    <row r="27" spans="1:13" ht="14.25" customHeight="1">
      <c r="A27" s="86"/>
      <c r="B27" s="65"/>
      <c r="C27" s="72"/>
      <c r="D27" s="87"/>
      <c r="E27" s="88"/>
      <c r="F27" s="88"/>
      <c r="G27" s="100"/>
      <c r="H27" s="95"/>
      <c r="I27" s="96"/>
      <c r="J27" s="99"/>
      <c r="K27" s="72"/>
      <c r="L27" s="86"/>
      <c r="M27" s="86"/>
    </row>
    <row r="28" spans="1:12" ht="14.25">
      <c r="A28" s="101"/>
      <c r="B28" s="101"/>
      <c r="C28" s="102"/>
      <c r="D28" s="103"/>
      <c r="E28" s="104"/>
      <c r="F28" s="66"/>
      <c r="G28" s="105"/>
      <c r="H28" s="106"/>
      <c r="I28" s="107"/>
      <c r="J28" s="66"/>
      <c r="K28" s="102"/>
      <c r="L28" s="101"/>
    </row>
    <row r="29" spans="1:12" ht="14.25">
      <c r="A29" s="129" t="s">
        <v>354</v>
      </c>
      <c r="B29" s="129"/>
      <c r="C29" s="129"/>
      <c r="D29" s="109"/>
      <c r="E29" s="108"/>
      <c r="F29" s="108"/>
      <c r="H29" s="111"/>
      <c r="I29" s="110" t="s">
        <v>355</v>
      </c>
      <c r="J29" s="112"/>
      <c r="K29" s="130"/>
      <c r="L29" s="131"/>
    </row>
    <row r="30" spans="1:12" ht="14.25">
      <c r="A30" s="67"/>
      <c r="B30" s="67"/>
      <c r="C30" s="67"/>
      <c r="D30" s="69"/>
      <c r="G30" s="67"/>
      <c r="H30" s="78"/>
      <c r="K30" s="77"/>
      <c r="L30" s="64"/>
    </row>
    <row r="31" spans="1:12" ht="14.25">
      <c r="A31" s="67"/>
      <c r="B31" s="67"/>
      <c r="C31" s="67"/>
      <c r="D31" s="69"/>
      <c r="G31" s="67"/>
      <c r="H31" s="78"/>
      <c r="K31" s="77"/>
      <c r="L31" s="64"/>
    </row>
    <row r="32" spans="1:12" ht="14.25">
      <c r="A32" s="67"/>
      <c r="B32" s="67"/>
      <c r="C32" s="67"/>
      <c r="D32" s="69"/>
      <c r="G32" s="67"/>
      <c r="H32" s="78"/>
      <c r="K32" s="77"/>
      <c r="L32" s="64"/>
    </row>
    <row r="33" spans="1:12" ht="14.25">
      <c r="A33" s="67"/>
      <c r="B33" s="67"/>
      <c r="C33" s="67"/>
      <c r="D33" s="69"/>
      <c r="G33" s="67"/>
      <c r="H33" s="78"/>
      <c r="K33" s="77"/>
      <c r="L33" s="64"/>
    </row>
    <row r="34" spans="1:12" ht="14.25">
      <c r="A34" s="67"/>
      <c r="B34" s="67"/>
      <c r="C34" s="67"/>
      <c r="D34" s="69"/>
      <c r="G34" s="67"/>
      <c r="H34" s="78"/>
      <c r="K34" s="77"/>
      <c r="L34" s="64"/>
    </row>
    <row r="35" spans="1:12" ht="14.25">
      <c r="A35" s="67"/>
      <c r="B35" s="67"/>
      <c r="C35" s="67"/>
      <c r="D35" s="69"/>
      <c r="G35" s="67"/>
      <c r="H35" s="78"/>
      <c r="K35" s="77"/>
      <c r="L35" s="64"/>
    </row>
    <row r="36" spans="1:12" ht="14.25">
      <c r="A36" s="67"/>
      <c r="B36" s="67"/>
      <c r="C36" s="67"/>
      <c r="D36" s="69"/>
      <c r="G36" s="67"/>
      <c r="H36" s="78"/>
      <c r="K36" s="77"/>
      <c r="L36" s="64"/>
    </row>
    <row r="37" spans="1:12" ht="14.25">
      <c r="A37" s="67"/>
      <c r="B37" s="67"/>
      <c r="C37" s="67"/>
      <c r="D37" s="69"/>
      <c r="G37" s="67"/>
      <c r="H37" s="78"/>
      <c r="K37" s="77"/>
      <c r="L37" s="64"/>
    </row>
    <row r="38" spans="1:12" ht="14.25">
      <c r="A38" s="67"/>
      <c r="B38" s="67"/>
      <c r="C38" s="67"/>
      <c r="D38" s="69"/>
      <c r="G38" s="67"/>
      <c r="H38" s="78"/>
      <c r="K38" s="77"/>
      <c r="L38" s="64"/>
    </row>
    <row r="39" spans="1:12" ht="14.25">
      <c r="A39" s="67"/>
      <c r="B39" s="67"/>
      <c r="C39" s="67"/>
      <c r="D39" s="69"/>
      <c r="G39" s="67"/>
      <c r="H39" s="78"/>
      <c r="K39" s="77"/>
      <c r="L39" s="64"/>
    </row>
    <row r="40" spans="1:12" ht="14.25">
      <c r="A40" s="67"/>
      <c r="B40" s="67"/>
      <c r="C40" s="67"/>
      <c r="D40" s="69"/>
      <c r="G40" s="67"/>
      <c r="H40" s="78"/>
      <c r="K40" s="77"/>
      <c r="L40" s="64"/>
    </row>
    <row r="41" spans="1:12" ht="14.25">
      <c r="A41" s="67"/>
      <c r="B41" s="67"/>
      <c r="C41" s="67"/>
      <c r="D41" s="69"/>
      <c r="G41" s="67"/>
      <c r="H41" s="78"/>
      <c r="K41" s="77"/>
      <c r="L41" s="64"/>
    </row>
    <row r="42" spans="1:12" ht="14.25">
      <c r="A42" s="67"/>
      <c r="B42" s="67"/>
      <c r="C42" s="67"/>
      <c r="D42" s="69"/>
      <c r="G42" s="67"/>
      <c r="H42" s="78"/>
      <c r="K42" s="77"/>
      <c r="L42" s="64"/>
    </row>
    <row r="43" spans="1:12" ht="14.25">
      <c r="A43" s="67"/>
      <c r="B43" s="67"/>
      <c r="C43" s="67"/>
      <c r="D43" s="69"/>
      <c r="G43" s="67"/>
      <c r="H43" s="78"/>
      <c r="K43" s="77"/>
      <c r="L43" s="64"/>
    </row>
    <row r="44" spans="1:12" ht="14.25">
      <c r="A44" s="67"/>
      <c r="B44" s="67"/>
      <c r="C44" s="67"/>
      <c r="D44" s="69"/>
      <c r="G44" s="67"/>
      <c r="H44" s="78"/>
      <c r="K44" s="77"/>
      <c r="L44" s="64"/>
    </row>
    <row r="47" ht="14.25">
      <c r="J47" s="75"/>
    </row>
  </sheetData>
  <mergeCells count="10">
    <mergeCell ref="A1:L1"/>
    <mergeCell ref="A29:C29"/>
    <mergeCell ref="K29:L29"/>
    <mergeCell ref="G3:I3"/>
    <mergeCell ref="D3:F3"/>
    <mergeCell ref="J3:K3"/>
    <mergeCell ref="B3:B4"/>
    <mergeCell ref="A3:A4"/>
    <mergeCell ref="C3:C4"/>
    <mergeCell ref="L3:M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2009-02-23T07:31:53Z</cp:lastPrinted>
  <dcterms:created xsi:type="dcterms:W3CDTF">1996-12-17T01:32:42Z</dcterms:created>
  <dcterms:modified xsi:type="dcterms:W3CDTF">2009-02-23T09:29:01Z</dcterms:modified>
  <cp:category/>
  <cp:version/>
  <cp:contentType/>
  <cp:contentStatus/>
</cp:coreProperties>
</file>